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yste\Downloads\"/>
    </mc:Choice>
  </mc:AlternateContent>
  <xr:revisionPtr revIDLastSave="0" documentId="13_ncr:1_{FEC64538-79FE-49BE-A205-0CCC906BA8CE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Sheet1" sheetId="13" r:id="rId1"/>
  </sheets>
  <definedNames>
    <definedName name="Age" localSheetId="0">OFFSET(Sheet1!$K$2, 0, 0, COUNT(Sheet1!$K:$K) - 1, 1)</definedName>
    <definedName name="Balance" localSheetId="0">OFFSET(Sheet1!$O$2, 0, 0, COUNT(Sheet1!$O:$O) - 1, 1)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3" l="1"/>
  <c r="K3" i="13"/>
  <c r="C19" i="13" a="1"/>
  <c r="C19" i="13" s="1"/>
  <c r="L2" i="13"/>
  <c r="B20" i="13" l="1"/>
  <c r="B19" i="13" l="1"/>
  <c r="F15" i="13"/>
  <c r="N2" i="13"/>
  <c r="K2" i="13"/>
  <c r="M2" i="13" l="1"/>
  <c r="O2" i="13" s="1"/>
  <c r="P3" i="13" l="1"/>
  <c r="Q3" i="13" s="1"/>
  <c r="N3" i="13"/>
  <c r="L3" i="13"/>
  <c r="M3" i="13" l="1"/>
  <c r="O3" i="13" s="1"/>
  <c r="N4" i="13" l="1"/>
  <c r="P4" i="13"/>
  <c r="L4" i="13"/>
  <c r="M4" i="13" s="1"/>
  <c r="Q4" i="13" l="1"/>
  <c r="O4" i="13" s="1"/>
  <c r="K5" i="13" s="1"/>
  <c r="P5" i="13" l="1"/>
  <c r="N5" i="13"/>
  <c r="L5" i="13"/>
  <c r="M5" i="13" s="1"/>
  <c r="Q5" i="13" l="1"/>
  <c r="O5" i="13"/>
  <c r="K6" i="13" s="1"/>
  <c r="P6" i="13" l="1"/>
  <c r="N6" i="13"/>
  <c r="L6" i="13"/>
  <c r="M6" i="13" s="1"/>
  <c r="Q6" i="13" l="1"/>
  <c r="O6" i="13"/>
  <c r="K7" i="13" s="1"/>
  <c r="L7" i="13" l="1"/>
  <c r="M7" i="13" s="1"/>
  <c r="P7" i="13"/>
  <c r="N7" i="13"/>
  <c r="Q7" i="13" l="1"/>
  <c r="O7" i="13" s="1"/>
  <c r="K8" i="13" l="1"/>
  <c r="N8" i="13" s="1"/>
  <c r="P8" i="13" l="1"/>
  <c r="Q8" i="13" s="1"/>
  <c r="L8" i="13"/>
  <c r="M8" i="13" s="1"/>
  <c r="O8" i="13"/>
  <c r="K9" i="13" l="1"/>
  <c r="L9" i="13" s="1"/>
  <c r="M9" i="13" s="1"/>
  <c r="P9" i="13" l="1"/>
  <c r="N9" i="13"/>
  <c r="Q9" i="13" s="1"/>
  <c r="O9" i="13" l="1"/>
  <c r="K10" i="13" l="1"/>
  <c r="L10" i="13" l="1"/>
  <c r="N10" i="13"/>
  <c r="P10" i="13"/>
  <c r="M10" i="13" l="1"/>
  <c r="O10" i="13" s="1"/>
  <c r="Q10" i="13"/>
  <c r="K11" i="13" l="1"/>
  <c r="L11" i="13" l="1"/>
  <c r="M11" i="13" s="1"/>
  <c r="N11" i="13"/>
  <c r="P11" i="13"/>
  <c r="Q11" i="13" l="1"/>
  <c r="O11" i="13"/>
  <c r="K12" i="13" l="1"/>
  <c r="L12" i="13" l="1"/>
  <c r="M12" i="13" s="1"/>
  <c r="N12" i="13"/>
  <c r="Q12" i="13" s="1"/>
  <c r="O12" i="13" s="1"/>
  <c r="P12" i="13"/>
  <c r="K13" i="13" l="1"/>
  <c r="L13" i="13" l="1"/>
  <c r="M13" i="13" s="1"/>
  <c r="N13" i="13"/>
  <c r="O13" i="13"/>
  <c r="P13" i="13"/>
  <c r="Q13" i="13" l="1"/>
  <c r="K14" i="13"/>
  <c r="L14" i="13" l="1"/>
  <c r="M14" i="13" s="1"/>
  <c r="N14" i="13"/>
  <c r="O14" i="13"/>
  <c r="P14" i="13"/>
  <c r="Q14" i="13" l="1"/>
  <c r="K15" i="13"/>
  <c r="P15" i="13" l="1"/>
  <c r="N15" i="13"/>
  <c r="Q15" i="13" s="1"/>
  <c r="O15" i="13" s="1"/>
  <c r="K16" i="13" s="1"/>
  <c r="L15" i="13"/>
  <c r="M15" i="13" s="1"/>
  <c r="L16" i="13" l="1"/>
  <c r="M16" i="13" s="1"/>
  <c r="P16" i="13"/>
  <c r="N16" i="13"/>
  <c r="Q16" i="13" s="1"/>
  <c r="O16" i="13"/>
  <c r="K17" i="13" s="1"/>
  <c r="L17" i="13" l="1"/>
  <c r="M17" i="13" s="1"/>
  <c r="N17" i="13"/>
  <c r="Q17" i="13" s="1"/>
  <c r="O17" i="13" s="1"/>
  <c r="P17" i="13"/>
  <c r="K18" i="13" l="1"/>
  <c r="L18" i="13" l="1"/>
  <c r="M18" i="13" s="1"/>
  <c r="N18" i="13"/>
  <c r="Q18" i="13" s="1"/>
  <c r="O18" i="13" s="1"/>
  <c r="K19" i="13" s="1"/>
  <c r="P18" i="13"/>
  <c r="N19" i="13" l="1"/>
  <c r="L19" i="13"/>
  <c r="M19" i="13" s="1"/>
  <c r="P19" i="13"/>
  <c r="Q19" i="13"/>
  <c r="O19" i="13" s="1"/>
  <c r="K20" i="13" l="1"/>
  <c r="L20" i="13" l="1"/>
  <c r="M20" i="13" s="1"/>
  <c r="N20" i="13"/>
  <c r="Q20" i="13" s="1"/>
  <c r="P20" i="13"/>
  <c r="O20" i="13" l="1"/>
  <c r="K21" i="13" l="1"/>
  <c r="L21" i="13" l="1"/>
  <c r="M21" i="13" s="1"/>
  <c r="N21" i="13"/>
  <c r="O21" i="13"/>
  <c r="P21" i="13"/>
  <c r="K22" i="13" l="1"/>
  <c r="Q21" i="13"/>
  <c r="P22" i="13" l="1"/>
  <c r="L22" i="13"/>
  <c r="M22" i="13" s="1"/>
  <c r="N22" i="13"/>
  <c r="O22" i="13" s="1"/>
  <c r="K23" i="13" l="1"/>
  <c r="Q22" i="13"/>
  <c r="N23" i="13" l="1"/>
  <c r="Q23" i="13" s="1"/>
  <c r="L23" i="13"/>
  <c r="M23" i="13" s="1"/>
  <c r="O23" i="13"/>
  <c r="P23" i="13"/>
  <c r="K24" i="13" l="1"/>
  <c r="L24" i="13" l="1"/>
  <c r="M24" i="13" s="1"/>
  <c r="N24" i="13"/>
  <c r="O24" i="13"/>
  <c r="P24" i="13"/>
  <c r="Q24" i="13" l="1"/>
  <c r="K25" i="13"/>
  <c r="P25" i="13" s="1"/>
  <c r="N25" i="13" l="1"/>
  <c r="Q25" i="13" s="1"/>
  <c r="L25" i="13"/>
  <c r="M25" i="13" s="1"/>
  <c r="O25" i="13"/>
  <c r="K26" i="13" l="1"/>
  <c r="P26" i="13" l="1"/>
  <c r="L26" i="13"/>
  <c r="M26" i="13" s="1"/>
  <c r="N26" i="13"/>
  <c r="O26" i="13" l="1"/>
  <c r="Q26" i="13"/>
  <c r="K27" i="13" l="1"/>
  <c r="L27" i="13" l="1"/>
  <c r="M27" i="13" s="1"/>
  <c r="P27" i="13"/>
  <c r="N27" i="13"/>
  <c r="Q27" i="13" l="1"/>
  <c r="O27" i="13" s="1"/>
  <c r="K28" i="13" s="1"/>
  <c r="N28" i="13" l="1"/>
  <c r="L28" i="13"/>
  <c r="M28" i="13" s="1"/>
  <c r="P28" i="13"/>
  <c r="Q28" i="13"/>
  <c r="O28" i="13"/>
  <c r="K29" i="13" l="1"/>
  <c r="N29" i="13" l="1"/>
  <c r="P29" i="13"/>
  <c r="Q29" i="13"/>
  <c r="O29" i="13" s="1"/>
  <c r="L29" i="13"/>
  <c r="M29" i="13" s="1"/>
  <c r="K30" i="13" l="1"/>
  <c r="P30" i="13" l="1"/>
  <c r="N30" i="13"/>
  <c r="Q30" i="13" s="1"/>
  <c r="O30" i="13" s="1"/>
  <c r="L30" i="13"/>
  <c r="M30" i="13" s="1"/>
  <c r="K31" i="13" l="1"/>
  <c r="L31" i="13" l="1"/>
  <c r="M31" i="13" s="1"/>
  <c r="N31" i="13"/>
  <c r="O31" i="13"/>
  <c r="P31" i="13"/>
  <c r="Q31" i="13" l="1"/>
  <c r="K32" i="13"/>
  <c r="P32" i="13" s="1"/>
  <c r="L32" i="13" l="1"/>
  <c r="M32" i="13" s="1"/>
  <c r="N32" i="13"/>
  <c r="Q32" i="13" s="1"/>
  <c r="O32" i="13" l="1"/>
  <c r="K33" i="13" l="1"/>
  <c r="P33" i="13" l="1"/>
  <c r="L33" i="13"/>
  <c r="M33" i="13" s="1"/>
  <c r="N33" i="13"/>
  <c r="Q33" i="13" s="1"/>
  <c r="O33" i="13" s="1"/>
  <c r="K34" i="13" s="1"/>
  <c r="L34" i="13" l="1"/>
  <c r="M34" i="13" s="1"/>
  <c r="N34" i="13"/>
  <c r="P34" i="13"/>
  <c r="Q34" i="13"/>
  <c r="O34" i="13" s="1"/>
  <c r="K35" i="13" l="1"/>
  <c r="L35" i="13" l="1"/>
  <c r="M35" i="13" s="1"/>
  <c r="N35" i="13"/>
  <c r="O35" i="13"/>
  <c r="P35" i="13"/>
  <c r="K36" i="13" l="1"/>
  <c r="Q35" i="13"/>
  <c r="N36" i="13" l="1"/>
  <c r="L36" i="13"/>
  <c r="M36" i="13" s="1"/>
  <c r="P36" i="13"/>
  <c r="O36" i="13" l="1"/>
  <c r="Q36" i="13"/>
  <c r="L37" i="13" l="1"/>
  <c r="M37" i="13" s="1"/>
  <c r="K37" i="13"/>
  <c r="P37" i="13" l="1"/>
  <c r="Q37" i="13" s="1"/>
  <c r="O37" i="13" s="1"/>
  <c r="N37" i="13"/>
  <c r="P38" i="13" l="1"/>
  <c r="K38" i="13"/>
  <c r="N38" i="13" l="1"/>
  <c r="Q38" i="13" s="1"/>
  <c r="L38" i="13"/>
  <c r="M38" i="13" s="1"/>
  <c r="O38" i="13"/>
  <c r="K39" i="13" l="1"/>
  <c r="L39" i="13" l="1"/>
  <c r="M39" i="13" s="1"/>
  <c r="N39" i="13"/>
  <c r="P39" i="13"/>
  <c r="Q39" i="13" l="1"/>
  <c r="O39" i="13" s="1"/>
  <c r="K40" i="13" l="1"/>
  <c r="N40" i="13" l="1"/>
  <c r="L40" i="13"/>
  <c r="M40" i="13" s="1"/>
  <c r="P40" i="13"/>
  <c r="Q40" i="13" l="1"/>
  <c r="O40" i="13" s="1"/>
  <c r="K41" i="13" s="1"/>
  <c r="L41" i="13" l="1"/>
  <c r="M41" i="13" s="1"/>
  <c r="P41" i="13"/>
  <c r="N41" i="13"/>
  <c r="Q41" i="13"/>
  <c r="O41" i="13" s="1"/>
  <c r="K42" i="13" s="1"/>
  <c r="N42" i="13" l="1"/>
  <c r="L42" i="13"/>
  <c r="M42" i="13" s="1"/>
  <c r="P42" i="13"/>
  <c r="Q42" i="13"/>
  <c r="O42" i="13" l="1"/>
  <c r="K43" i="13" l="1"/>
  <c r="N43" i="13" l="1"/>
  <c r="L43" i="13"/>
  <c r="M43" i="13" s="1"/>
  <c r="P43" i="13"/>
  <c r="Q43" i="13" l="1"/>
  <c r="O43" i="13" s="1"/>
  <c r="K44" i="13" l="1"/>
  <c r="P44" i="13" l="1"/>
  <c r="N44" i="13"/>
  <c r="Q44" i="13" s="1"/>
  <c r="O44" i="13" s="1"/>
  <c r="K45" i="13" s="1"/>
  <c r="L44" i="13"/>
  <c r="M44" i="13" s="1"/>
  <c r="P45" i="13" l="1"/>
  <c r="N45" i="13"/>
  <c r="L45" i="13"/>
  <c r="M45" i="13" s="1"/>
  <c r="Q45" i="13"/>
  <c r="O45" i="13" s="1"/>
  <c r="K46" i="13" l="1"/>
  <c r="P46" i="13" l="1"/>
  <c r="N46" i="13"/>
  <c r="Q46" i="13"/>
  <c r="L46" i="13"/>
  <c r="M46" i="13" s="1"/>
  <c r="O46" i="13" l="1"/>
  <c r="K47" i="13" s="1"/>
  <c r="P47" i="13" l="1"/>
  <c r="N47" i="13"/>
  <c r="L47" i="13"/>
  <c r="M47" i="13" s="1"/>
  <c r="Q47" i="13" l="1"/>
  <c r="O47" i="13" s="1"/>
  <c r="K48" i="13" l="1"/>
  <c r="L48" i="13" l="1"/>
  <c r="M48" i="13" s="1"/>
  <c r="P48" i="13"/>
  <c r="N48" i="13"/>
  <c r="Q48" i="13" l="1"/>
  <c r="O48" i="13" s="1"/>
  <c r="K49" i="13" s="1"/>
  <c r="L49" i="13" l="1"/>
  <c r="M49" i="13" s="1"/>
  <c r="N49" i="13"/>
  <c r="P49" i="13"/>
  <c r="Q49" i="13" l="1"/>
  <c r="O49" i="13" s="1"/>
  <c r="K50" i="13" l="1"/>
  <c r="P50" i="13" l="1"/>
  <c r="N50" i="13"/>
  <c r="Q50" i="13" s="1"/>
  <c r="O50" i="13" s="1"/>
  <c r="K51" i="13" s="1"/>
  <c r="L50" i="13"/>
  <c r="M50" i="13" s="1"/>
  <c r="L51" i="13" l="1"/>
  <c r="M51" i="13" s="1"/>
  <c r="N51" i="13"/>
  <c r="P51" i="13"/>
  <c r="Q51" i="13"/>
  <c r="O51" i="13"/>
  <c r="K52" i="13" l="1"/>
  <c r="P52" i="13" l="1"/>
  <c r="L52" i="13"/>
  <c r="M52" i="13" s="1"/>
  <c r="N52" i="13"/>
  <c r="Q52" i="13" l="1"/>
  <c r="O52" i="13" s="1"/>
  <c r="K53" i="13" s="1"/>
  <c r="N53" i="13" l="1"/>
  <c r="P53" i="13"/>
  <c r="L53" i="13"/>
  <c r="M53" i="13" s="1"/>
  <c r="Q53" i="13" l="1"/>
  <c r="O53" i="13" s="1"/>
  <c r="K54" i="13" s="1"/>
  <c r="L54" i="13" l="1"/>
  <c r="M54" i="13" s="1"/>
  <c r="N54" i="13"/>
  <c r="P54" i="13"/>
  <c r="Q54" i="13" l="1"/>
  <c r="O54" i="13" s="1"/>
  <c r="K55" i="13" l="1"/>
  <c r="N55" i="13" l="1"/>
  <c r="P55" i="13"/>
  <c r="Q55" i="13" s="1"/>
  <c r="O55" i="13" s="1"/>
  <c r="L55" i="13"/>
  <c r="M55" i="13" s="1"/>
  <c r="K56" i="13" l="1"/>
  <c r="P56" i="13" l="1"/>
  <c r="N56" i="13"/>
  <c r="Q56" i="13" s="1"/>
  <c r="O56" i="13" s="1"/>
  <c r="K57" i="13" s="1"/>
  <c r="L56" i="13"/>
  <c r="M56" i="13" s="1"/>
  <c r="L57" i="13" l="1"/>
  <c r="M57" i="13" s="1"/>
  <c r="N57" i="13"/>
  <c r="P57" i="13"/>
  <c r="Q57" i="13"/>
  <c r="O57" i="13" s="1"/>
  <c r="K58" i="13" l="1"/>
  <c r="P58" i="13" l="1"/>
  <c r="L58" i="13"/>
  <c r="M58" i="13" s="1"/>
  <c r="N58" i="13"/>
  <c r="Q58" i="13" l="1"/>
  <c r="O58" i="13" s="1"/>
  <c r="K59" i="13" s="1"/>
  <c r="P59" i="13" l="1"/>
  <c r="N59" i="13"/>
  <c r="L59" i="13"/>
  <c r="M59" i="13" s="1"/>
  <c r="Q59" i="13" l="1"/>
  <c r="O59" i="13" s="1"/>
  <c r="K60" i="13" s="1"/>
  <c r="L60" i="13" l="1"/>
  <c r="M60" i="13" s="1"/>
  <c r="P60" i="13"/>
  <c r="N60" i="13"/>
  <c r="Q60" i="13"/>
  <c r="O60" i="13" s="1"/>
  <c r="K61" i="13" s="1"/>
  <c r="P61" i="13" l="1"/>
  <c r="L61" i="13"/>
  <c r="M61" i="13" s="1"/>
  <c r="N61" i="13"/>
  <c r="Q61" i="13" s="1"/>
  <c r="O61" i="13" s="1"/>
  <c r="K62" i="13" s="1"/>
  <c r="L62" i="13" l="1"/>
  <c r="M62" i="13" s="1"/>
  <c r="P62" i="13"/>
  <c r="Q62" i="13" s="1"/>
  <c r="O62" i="13" s="1"/>
  <c r="K63" i="13" s="1"/>
  <c r="N62" i="13"/>
  <c r="L63" i="13" l="1"/>
  <c r="M63" i="13" s="1"/>
  <c r="P63" i="13"/>
  <c r="N63" i="13"/>
  <c r="Q63" i="13" s="1"/>
  <c r="O63" i="13" s="1"/>
  <c r="K64" i="13" s="1"/>
  <c r="N64" i="13" l="1"/>
  <c r="L64" i="13"/>
  <c r="M64" i="13" s="1"/>
  <c r="P64" i="13"/>
  <c r="Q64" i="13"/>
  <c r="O64" i="13" s="1"/>
  <c r="K65" i="13" l="1"/>
  <c r="L65" i="13" l="1"/>
  <c r="M65" i="13" s="1"/>
  <c r="N65" i="13"/>
  <c r="P65" i="13"/>
  <c r="Q65" i="13" l="1"/>
  <c r="O65" i="13" s="1"/>
  <c r="K66" i="13" l="1"/>
  <c r="P66" i="13" l="1"/>
  <c r="L66" i="13"/>
  <c r="M66" i="13" s="1"/>
  <c r="N66" i="13"/>
  <c r="Q66" i="13" l="1"/>
  <c r="O66" i="13" s="1"/>
  <c r="K67" i="13" s="1"/>
  <c r="P67" i="13" l="1"/>
  <c r="L67" i="13"/>
  <c r="M67" i="13" s="1"/>
  <c r="N67" i="13"/>
  <c r="Q67" i="13"/>
  <c r="O67" i="13" s="1"/>
  <c r="K68" i="13" s="1"/>
  <c r="L68" i="13" l="1"/>
  <c r="M68" i="13" s="1"/>
  <c r="P68" i="13"/>
  <c r="N68" i="13"/>
  <c r="Q68" i="13" s="1"/>
  <c r="O68" i="13" s="1"/>
  <c r="K69" i="13" s="1"/>
  <c r="N69" i="13" l="1"/>
  <c r="L69" i="13"/>
  <c r="M69" i="13" s="1"/>
  <c r="P69" i="13"/>
  <c r="Q69" i="13" s="1"/>
  <c r="O69" i="13" s="1"/>
  <c r="K70" i="13" s="1"/>
  <c r="P70" i="13" l="1"/>
  <c r="N70" i="13"/>
  <c r="Q70" i="13" s="1"/>
  <c r="O70" i="13" s="1"/>
  <c r="L70" i="13"/>
  <c r="M70" i="13" s="1"/>
  <c r="K71" i="13" l="1"/>
  <c r="P71" i="13" l="1"/>
  <c r="N71" i="13"/>
  <c r="L71" i="13"/>
  <c r="M71" i="13" s="1"/>
  <c r="Q71" i="13" l="1"/>
  <c r="O71" i="13" s="1"/>
  <c r="K72" i="13" s="1"/>
  <c r="P72" i="13" l="1"/>
  <c r="L72" i="13"/>
  <c r="M72" i="13" s="1"/>
  <c r="N72" i="13"/>
  <c r="Q72" i="13" s="1"/>
  <c r="O72" i="13"/>
  <c r="K73" i="13" s="1"/>
  <c r="N73" i="13" l="1"/>
  <c r="P73" i="13"/>
  <c r="Q73" i="13" s="1"/>
  <c r="L73" i="13"/>
  <c r="M73" i="13" s="1"/>
  <c r="O73" i="13" l="1"/>
  <c r="K74" i="13" s="1"/>
  <c r="P74" i="13" l="1"/>
  <c r="L74" i="13"/>
  <c r="M74" i="13" s="1"/>
  <c r="N74" i="13"/>
  <c r="Q74" i="13" s="1"/>
  <c r="O74" i="13"/>
  <c r="K75" i="13" l="1"/>
  <c r="P75" i="13" l="1"/>
  <c r="N75" i="13"/>
  <c r="Q75" i="13" s="1"/>
  <c r="M75" i="13"/>
  <c r="O75" i="13"/>
  <c r="L75" i="13"/>
  <c r="K76" i="13" l="1"/>
  <c r="N76" i="13" l="1"/>
  <c r="Q76" i="13" s="1"/>
  <c r="O76" i="13" s="1"/>
  <c r="K77" i="13" s="1"/>
  <c r="P76" i="13"/>
  <c r="L76" i="13"/>
  <c r="M76" i="13" s="1"/>
  <c r="L77" i="13" l="1"/>
  <c r="M77" i="13" s="1"/>
  <c r="P77" i="13"/>
  <c r="N77" i="13"/>
  <c r="Q77" i="13" s="1"/>
  <c r="O77" i="13" s="1"/>
  <c r="K78" i="13" s="1"/>
  <c r="P78" i="13" l="1"/>
  <c r="N78" i="13"/>
  <c r="Q78" i="13" s="1"/>
  <c r="L78" i="13"/>
  <c r="M78" i="13" s="1"/>
  <c r="O78" i="13"/>
  <c r="K79" i="13" l="1"/>
  <c r="P79" i="13" l="1"/>
  <c r="N79" i="13"/>
  <c r="Q79" i="13" s="1"/>
  <c r="O79" i="13" s="1"/>
  <c r="L79" i="13"/>
  <c r="M79" i="13" s="1"/>
  <c r="K80" i="13" l="1"/>
  <c r="P80" i="13" l="1"/>
  <c r="Q80" i="13" s="1"/>
  <c r="L80" i="13"/>
  <c r="M80" i="13" s="1"/>
  <c r="O80" i="13"/>
  <c r="N80" i="13"/>
  <c r="K81" i="13" l="1"/>
  <c r="L81" i="13" l="1"/>
  <c r="M81" i="13" s="1"/>
  <c r="P81" i="13"/>
  <c r="Q81" i="13" s="1"/>
  <c r="O81" i="13" s="1"/>
  <c r="N81" i="13"/>
  <c r="K82" i="13" l="1"/>
  <c r="N82" i="13" l="1"/>
  <c r="Q82" i="13" s="1"/>
  <c r="L82" i="13"/>
  <c r="M82" i="13" s="1"/>
  <c r="O82" i="13"/>
  <c r="P82" i="13"/>
  <c r="K83" i="13" l="1"/>
  <c r="P83" i="13" l="1"/>
  <c r="N83" i="13"/>
  <c r="Q83" i="13" s="1"/>
  <c r="O83" i="13" s="1"/>
  <c r="K84" i="13" s="1"/>
  <c r="L83" i="13"/>
  <c r="M83" i="13" s="1"/>
  <c r="N84" i="13" l="1"/>
  <c r="P84" i="13"/>
  <c r="Q84" i="13" s="1"/>
  <c r="L84" i="13"/>
  <c r="M84" i="13" s="1"/>
  <c r="O84" i="13"/>
  <c r="K85" i="13" l="1"/>
  <c r="N85" i="13" l="1"/>
  <c r="L85" i="13"/>
  <c r="M85" i="13" s="1"/>
  <c r="Q85" i="13"/>
  <c r="O85" i="13"/>
  <c r="P85" i="13"/>
  <c r="K86" i="13" l="1"/>
  <c r="L86" i="13" l="1"/>
  <c r="M86" i="13" s="1"/>
  <c r="Q86" i="13"/>
  <c r="N86" i="13"/>
  <c r="O86" i="13"/>
  <c r="P86" i="13"/>
  <c r="K87" i="13" l="1"/>
  <c r="P87" i="13" l="1"/>
  <c r="L87" i="13"/>
  <c r="M87" i="13" s="1"/>
  <c r="Q87" i="13"/>
  <c r="O87" i="13"/>
  <c r="N87" i="13"/>
  <c r="K88" i="13" l="1"/>
  <c r="L88" i="13" l="1"/>
  <c r="M88" i="13" s="1"/>
  <c r="P88" i="13"/>
  <c r="Q88" i="13" s="1"/>
  <c r="O88" i="13" s="1"/>
  <c r="K89" i="13" s="1"/>
  <c r="N88" i="13"/>
  <c r="L89" i="13" l="1"/>
  <c r="M89" i="13" s="1"/>
  <c r="N89" i="13"/>
  <c r="P89" i="13"/>
  <c r="Q89" i="13"/>
  <c r="O89" i="13" s="1"/>
  <c r="K90" i="13" l="1"/>
  <c r="L90" i="13" l="1"/>
  <c r="M90" i="13" s="1"/>
  <c r="N90" i="13"/>
  <c r="Q90" i="13"/>
  <c r="O90" i="13" s="1"/>
  <c r="K91" i="13" s="1"/>
  <c r="P90" i="13"/>
  <c r="P91" i="13" l="1"/>
  <c r="L91" i="13"/>
  <c r="M91" i="13" s="1"/>
  <c r="N91" i="13"/>
  <c r="Q91" i="13"/>
  <c r="O91" i="13" s="1"/>
  <c r="K92" i="13" l="1"/>
  <c r="N92" i="13" l="1"/>
  <c r="L92" i="13"/>
  <c r="M92" i="13" s="1"/>
  <c r="Q92" i="13"/>
  <c r="O92" i="13" s="1"/>
  <c r="P92" i="13"/>
  <c r="K93" i="13" l="1"/>
  <c r="N93" i="13" l="1"/>
  <c r="Q93" i="13" s="1"/>
  <c r="L93" i="13"/>
  <c r="M93" i="13" s="1"/>
  <c r="O93" i="13"/>
  <c r="P93" i="13"/>
  <c r="K94" i="13" l="1"/>
  <c r="P94" i="13" l="1"/>
  <c r="N94" i="13"/>
  <c r="Q94" i="13"/>
  <c r="O94" i="13" s="1"/>
  <c r="K95" i="13" s="1"/>
  <c r="L94" i="13"/>
  <c r="M94" i="13" s="1"/>
  <c r="P95" i="13" l="1"/>
  <c r="L95" i="13"/>
  <c r="M95" i="13" s="1"/>
  <c r="N95" i="13"/>
  <c r="Q95" i="13" s="1"/>
  <c r="O95" i="13"/>
  <c r="K96" i="13" s="1"/>
  <c r="L96" i="13" l="1"/>
  <c r="M96" i="13" s="1"/>
  <c r="N96" i="13"/>
  <c r="P96" i="13"/>
  <c r="Q96" i="13" s="1"/>
  <c r="O96" i="13" s="1"/>
  <c r="K97" i="13" s="1"/>
  <c r="N97" i="13" l="1"/>
  <c r="P97" i="13"/>
  <c r="Q97" i="13" s="1"/>
  <c r="L97" i="13"/>
  <c r="M97" i="13" s="1"/>
  <c r="O97" i="13"/>
  <c r="K98" i="13" s="1"/>
  <c r="N98" i="13" l="1"/>
  <c r="L98" i="13"/>
  <c r="M98" i="13" s="1"/>
  <c r="P98" i="13"/>
  <c r="Q98" i="13"/>
  <c r="O98" i="13" s="1"/>
  <c r="K99" i="13" s="1"/>
  <c r="L99" i="13" l="1"/>
  <c r="M99" i="13" s="1"/>
  <c r="P99" i="13"/>
  <c r="N99" i="13"/>
  <c r="Q99" i="13"/>
  <c r="O99" i="13" s="1"/>
  <c r="K100" i="13" l="1"/>
  <c r="L100" i="13" l="1"/>
  <c r="M100" i="13" s="1"/>
  <c r="N100" i="13"/>
  <c r="Q100" i="13" s="1"/>
  <c r="O100" i="13"/>
  <c r="P100" i="13"/>
  <c r="K101" i="13" l="1"/>
  <c r="L101" i="13" l="1"/>
  <c r="M101" i="13" s="1"/>
  <c r="P101" i="13"/>
  <c r="Q101" i="13"/>
  <c r="O101" i="13" s="1"/>
  <c r="N101" i="13"/>
  <c r="K102" i="13" l="1"/>
  <c r="N102" i="13" l="1"/>
  <c r="P102" i="13"/>
  <c r="Q102" i="13"/>
  <c r="O102" i="13" s="1"/>
  <c r="K103" i="13" s="1"/>
  <c r="L102" i="13"/>
  <c r="M102" i="13" s="1"/>
  <c r="N103" i="13" l="1"/>
  <c r="L103" i="13"/>
  <c r="M103" i="13" s="1"/>
  <c r="P103" i="13"/>
  <c r="Q103" i="13"/>
  <c r="O103" i="13" s="1"/>
  <c r="K104" i="13" l="1"/>
  <c r="L104" i="13" l="1"/>
  <c r="M104" i="13" s="1"/>
  <c r="N104" i="13"/>
  <c r="Q104" i="13"/>
  <c r="O104" i="13" s="1"/>
  <c r="P104" i="13"/>
  <c r="K105" i="13" l="1"/>
  <c r="P105" i="13" l="1"/>
  <c r="L105" i="13"/>
  <c r="M105" i="13" s="1"/>
  <c r="Q105" i="13"/>
  <c r="O105" i="13" s="1"/>
  <c r="N105" i="13"/>
  <c r="K106" i="13" l="1"/>
  <c r="L106" i="13" l="1"/>
  <c r="M106" i="13" s="1"/>
  <c r="P106" i="13"/>
  <c r="Q106" i="13"/>
  <c r="O106" i="13" s="1"/>
  <c r="N106" i="13"/>
  <c r="K107" i="13" l="1"/>
  <c r="P107" i="13" l="1"/>
  <c r="Q107" i="13" s="1"/>
  <c r="O107" i="13" s="1"/>
  <c r="K108" i="13" s="1"/>
  <c r="L107" i="13"/>
  <c r="M107" i="13" s="1"/>
  <c r="N107" i="13"/>
  <c r="I15" i="13"/>
  <c r="I16" i="13" s="1"/>
  <c r="I17" i="13" s="1"/>
  <c r="I18" i="13"/>
  <c r="P108" i="13" l="1"/>
  <c r="Q108" i="13" s="1"/>
  <c r="L108" i="13"/>
  <c r="N108" i="13"/>
  <c r="M108" i="13"/>
  <c r="O108" i="13"/>
  <c r="K109" i="13" s="1"/>
  <c r="I19" i="13"/>
  <c r="N109" i="13" l="1"/>
  <c r="Q109" i="13" s="1"/>
  <c r="L109" i="13"/>
  <c r="P109" i="13"/>
  <c r="M109" i="13"/>
  <c r="O109" i="13"/>
  <c r="K110" i="13" s="1"/>
  <c r="L110" i="13" l="1"/>
  <c r="M110" i="13" s="1"/>
  <c r="P110" i="13"/>
  <c r="N110" i="13"/>
  <c r="Q110" i="13"/>
  <c r="O110" i="13" s="1"/>
  <c r="K111" i="13" l="1"/>
  <c r="L111" i="13" l="1"/>
  <c r="M111" i="13" s="1"/>
  <c r="N111" i="13"/>
  <c r="Q111" i="13" s="1"/>
  <c r="O111" i="13"/>
  <c r="P111" i="13"/>
  <c r="K112" i="13" l="1"/>
  <c r="P112" i="13" l="1"/>
  <c r="L112" i="13"/>
  <c r="O112" i="13"/>
  <c r="K113" i="13" s="1"/>
  <c r="M112" i="13"/>
  <c r="N112" i="13"/>
  <c r="Q112" i="13" s="1"/>
  <c r="N113" i="13" l="1"/>
  <c r="L113" i="13"/>
  <c r="M113" i="13" s="1"/>
  <c r="P113" i="13"/>
  <c r="Q113" i="13" s="1"/>
  <c r="O113" i="13" s="1"/>
  <c r="K114" i="13" s="1"/>
  <c r="L114" i="13" l="1"/>
  <c r="M114" i="13" s="1"/>
  <c r="N114" i="13"/>
  <c r="P114" i="13"/>
  <c r="Q114" i="13"/>
  <c r="O114" i="13" s="1"/>
  <c r="K115" i="13" l="1"/>
  <c r="P115" i="13" l="1"/>
  <c r="L115" i="13"/>
  <c r="M115" i="13" s="1"/>
  <c r="Q115" i="13"/>
  <c r="O115" i="13" s="1"/>
  <c r="N115" i="13"/>
  <c r="K116" i="13" l="1"/>
  <c r="P116" i="13" l="1"/>
  <c r="Q116" i="13" s="1"/>
  <c r="L116" i="13"/>
  <c r="M116" i="13" s="1"/>
  <c r="O116" i="13"/>
  <c r="K117" i="13" s="1"/>
  <c r="N116" i="13"/>
  <c r="P117" i="13" l="1"/>
  <c r="L117" i="13"/>
  <c r="M117" i="13" s="1"/>
  <c r="N117" i="13"/>
  <c r="Q117" i="13"/>
  <c r="O117" i="13"/>
  <c r="K118" i="13" l="1"/>
  <c r="N118" i="13" l="1"/>
  <c r="Q118" i="13"/>
  <c r="O118" i="13" s="1"/>
  <c r="K119" i="13" s="1"/>
  <c r="L118" i="13"/>
  <c r="M118" i="13" s="1"/>
  <c r="P118" i="13"/>
  <c r="L119" i="13" l="1"/>
  <c r="M119" i="13" s="1"/>
  <c r="N119" i="13"/>
  <c r="P119" i="13"/>
  <c r="Q119" i="13" s="1"/>
  <c r="O119" i="13" s="1"/>
  <c r="K120" i="13" s="1"/>
  <c r="P120" i="13" l="1"/>
  <c r="N120" i="13"/>
  <c r="Q120" i="13" s="1"/>
  <c r="L120" i="13"/>
  <c r="M120" i="13" s="1"/>
  <c r="O120" i="13"/>
  <c r="K121" i="13" s="1"/>
  <c r="N121" i="13" l="1"/>
  <c r="P121" i="13"/>
  <c r="Q121" i="13" s="1"/>
  <c r="O121" i="13" s="1"/>
  <c r="K122" i="13" s="1"/>
  <c r="L121" i="13"/>
  <c r="M121" i="13" s="1"/>
  <c r="N122" i="13" l="1"/>
  <c r="P122" i="13"/>
  <c r="Q122" i="13" s="1"/>
  <c r="O122" i="13" s="1"/>
  <c r="F12" i="13" s="1"/>
  <c r="L122" i="13"/>
  <c r="M122" i="1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<sst xmlns="http://schemas.openxmlformats.org/spreadsheetml/2006/main" count="33" uniqueCount="33">
  <si>
    <t>Age</t>
  </si>
  <si>
    <t>Now</t>
  </si>
  <si>
    <t>Retirement planner</t>
  </si>
  <si>
    <t>Your current age</t>
  </si>
  <si>
    <t>At retirement</t>
  </si>
  <si>
    <t>Desired retirement age</t>
  </si>
  <si>
    <t>Cash</t>
  </si>
  <si>
    <t>Bonds</t>
  </si>
  <si>
    <t>Portfolio %</t>
  </si>
  <si>
    <t>Current retirement savings</t>
  </si>
  <si>
    <t>Portfolio beginning balance</t>
  </si>
  <si>
    <t>Return</t>
  </si>
  <si>
    <t>Saved</t>
  </si>
  <si>
    <t>Ending balance</t>
  </si>
  <si>
    <t>Inflation</t>
  </si>
  <si>
    <t>Withdrawal</t>
  </si>
  <si>
    <t>Withdrawal rate in retirement</t>
  </si>
  <si>
    <t>Annual expenses</t>
  </si>
  <si>
    <t>Other sources of income in retirement</t>
  </si>
  <si>
    <t>Income Replacement</t>
  </si>
  <si>
    <t>Average annual inflation rate</t>
  </si>
  <si>
    <t>Portfolio asset mix</t>
  </si>
  <si>
    <t>Expected Return</t>
  </si>
  <si>
    <t>Stocks</t>
  </si>
  <si>
    <t>Monthly portfolio withdrawal</t>
  </si>
  <si>
    <t>Monthly income from all sources</t>
  </si>
  <si>
    <t>Other</t>
  </si>
  <si>
    <t>Monthly Spending needs</t>
  </si>
  <si>
    <t>Monthly surplus/shortfall</t>
  </si>
  <si>
    <t>Adjust for Inflation?</t>
  </si>
  <si>
    <t>Annual retirement contributions/savings</t>
  </si>
  <si>
    <t>Annual contribution increase</t>
  </si>
  <si>
    <t>Input values in orange cells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</si>
</sst>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0.0%"/>
    <numFmt numFmtId="166" formatCode="_(* #,##0_);_(* \(#,##0\);_(* &quot;-&quot;??_);_(@_)"/>
    <numFmt numFmtId="167" formatCode="_(&quot;$&quot;* #,##0_);_(&quot;$&quot;* \(#,##0\);_(&quot;$&quot;* &quot;-&quot;??_);_(@_)"/>
  </numFmts>
  <fonts count="30" x14ac:knownFonts="1">
    <font>
      <sz val="12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1"/>
      <color theme="4" tint="-0.499984740745262"/>
      <name val="Lucida Sans"/>
      <family val="2"/>
      <scheme val="minor"/>
    </font>
    <font>
      <sz val="11"/>
      <color theme="0"/>
      <name val="Lucida Sans"/>
      <family val="2"/>
      <scheme val="minor"/>
    </font>
    <font>
      <sz val="11"/>
      <color theme="1" tint="0.24994659260841701"/>
      <name val="Lucida Sans"/>
      <family val="2"/>
      <scheme val="minor"/>
    </font>
    <font>
      <b/>
      <sz val="18"/>
      <color theme="4"/>
      <name val="Segoe UI Semibold"/>
      <family val="1"/>
      <scheme val="major"/>
    </font>
    <font>
      <sz val="32"/>
      <color theme="0"/>
      <name val="Segoe UI Semibold"/>
      <family val="2"/>
      <scheme val="major"/>
    </font>
    <font>
      <sz val="15"/>
      <name val="Segoe UI Semibold"/>
      <family val="1"/>
      <scheme val="major"/>
    </font>
    <font>
      <b/>
      <sz val="12"/>
      <name val="Segoe UI Semibold"/>
      <family val="1"/>
      <scheme val="major"/>
    </font>
    <font>
      <sz val="12"/>
      <name val="Lucida Sans"/>
      <family val="2"/>
      <scheme val="minor"/>
    </font>
    <font>
      <sz val="12"/>
      <color theme="1"/>
      <name val="Lucida Sans"/>
      <family val="2"/>
      <scheme val="minor"/>
    </font>
    <font>
      <sz val="18"/>
      <color theme="0"/>
      <name val="Segoe UI Semibold"/>
      <family val="2"/>
      <scheme val="major"/>
    </font>
    <font>
      <b/>
      <sz val="11"/>
      <color theme="1"/>
      <name val="Lucida Sans"/>
      <family val="2"/>
      <scheme val="minor"/>
    </font>
    <font>
      <b/>
      <sz val="15"/>
      <color theme="3"/>
      <name val="Lucida Sans"/>
      <family val="2"/>
      <scheme val="minor"/>
    </font>
    <font>
      <sz val="18"/>
      <color theme="3"/>
      <name val="Segoe UI Semibold"/>
      <family val="2"/>
      <scheme val="major"/>
    </font>
    <font>
      <sz val="21"/>
      <color theme="4" tint="-0.499984740745262"/>
      <name val="Segoe UI Semibold"/>
      <family val="1"/>
      <scheme val="major"/>
    </font>
    <font>
      <sz val="32"/>
      <color theme="4" tint="-0.499984740745262"/>
      <name val="Segoe UI Semibold"/>
      <family val="2"/>
      <scheme val="major"/>
    </font>
    <font>
      <sz val="15"/>
      <color theme="4" tint="-0.499984740745262"/>
      <name val="Segoe UI Semibold"/>
      <family val="1"/>
      <scheme val="major"/>
    </font>
    <font>
      <sz val="11"/>
      <color theme="4" tint="-0.24994659260841701"/>
      <name val="Segoe UI Semibold"/>
      <family val="1"/>
      <scheme val="major"/>
    </font>
    <font>
      <b/>
      <sz val="12"/>
      <color theme="1"/>
      <name val="Lucida Sans"/>
      <family val="2"/>
      <scheme val="minor"/>
    </font>
    <font>
      <b/>
      <sz val="14"/>
      <color theme="6" tint="-0.499984740745262"/>
      <name val="Lucida Sans"/>
      <family val="2"/>
      <scheme val="minor"/>
    </font>
    <font>
      <sz val="48"/>
      <color theme="2" tint="-0.749992370372631"/>
      <name val="Segoe UI Semibold"/>
      <family val="2"/>
    </font>
    <font>
      <sz val="26"/>
      <name val="Segoe UI Semibold"/>
      <family val="2"/>
      <scheme val="major"/>
    </font>
    <font>
      <b/>
      <sz val="11"/>
      <color theme="3"/>
      <name val="Lucida Sans"/>
      <family val="2"/>
      <scheme val="minor"/>
    </font>
    <font>
      <b/>
      <sz val="12"/>
      <color rgb="FFFF0000"/>
      <name val="Lucida Sans"/>
      <family val="2"/>
      <scheme val="minor"/>
    </font>
    <font>
      <b/>
      <sz val="11"/>
      <color theme="0"/>
      <name val="Segoe UI Semibold"/>
      <family val="2"/>
      <scheme val="major"/>
    </font>
    <font>
      <b/>
      <sz val="11"/>
      <color rgb="FFFF0000"/>
      <name val="Lucida Sans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</fills>
  <borders count="18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auto="1"/>
      </bottom>
      <diagonal/>
    </border>
    <border>
      <left/>
      <right/>
      <top style="thin">
        <color theme="2" tint="-0.499984740745262"/>
      </top>
      <bottom/>
      <diagonal/>
    </border>
    <border>
      <left style="thin">
        <color theme="2" tint="-0.499984740745262"/>
      </left>
      <right/>
      <top style="thin">
        <color theme="2" tint="-0.499984740745262"/>
      </top>
      <bottom/>
      <diagonal/>
    </border>
    <border>
      <left/>
      <right/>
      <top/>
      <bottom style="thick">
        <color theme="4"/>
      </bottom>
      <diagonal/>
    </border>
    <border>
      <left style="thick">
        <color theme="0"/>
      </left>
      <right/>
      <top/>
      <bottom style="thin">
        <color theme="4" tint="0.79998168889431442"/>
      </bottom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9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/>
      <bottom style="medium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/>
      <right/>
      <top/>
      <bottom style="medium">
        <color theme="2" tint="-0.249977111117893"/>
      </bottom>
      <diagonal/>
    </border>
    <border>
      <left style="medium">
        <color theme="2" tint="-0.249977111117893"/>
      </left>
      <right/>
      <top/>
      <bottom style="medium">
        <color theme="2" tint="-0.249977111117893"/>
      </bottom>
      <diagonal/>
    </border>
  </borders>
  <cellStyleXfs count="34">
    <xf numFmtId="164" fontId="0" fillId="0" borderId="0">
      <alignment horizontal="right" vertical="center"/>
    </xf>
    <xf numFmtId="0" fontId="8" fillId="0" borderId="0">
      <alignment horizontal="left" vertical="center"/>
    </xf>
    <xf numFmtId="0" fontId="11" fillId="0" borderId="0">
      <alignment horizontal="right" vertical="center" wrapText="1"/>
    </xf>
    <xf numFmtId="0" fontId="11" fillId="0" borderId="0">
      <alignment horizontal="center" vertical="center" wrapText="1"/>
    </xf>
    <xf numFmtId="0" fontId="12" fillId="0" borderId="0">
      <alignment horizontal="center" vertical="center"/>
    </xf>
    <xf numFmtId="0" fontId="9" fillId="3" borderId="0">
      <alignment horizontal="center" vertical="center"/>
    </xf>
    <xf numFmtId="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10" fillId="4" borderId="0">
      <alignment horizontal="center" vertical="center"/>
    </xf>
    <xf numFmtId="0" fontId="6" fillId="0" borderId="0" applyNumberFormat="0" applyFill="0" applyBorder="0" applyProtection="0">
      <alignment vertical="center"/>
    </xf>
    <xf numFmtId="14" fontId="7" fillId="0" borderId="0" applyFont="0" applyFill="0" applyBorder="0">
      <alignment horizontal="left" vertical="center"/>
    </xf>
    <xf numFmtId="0" fontId="11" fillId="2" borderId="1" applyNumberFormat="0" applyProtection="0">
      <alignment horizontal="center" vertical="center"/>
    </xf>
    <xf numFmtId="0" fontId="4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6" fillId="0" borderId="4" applyNumberFormat="0" applyFill="0" applyAlignment="0" applyProtection="0"/>
    <xf numFmtId="0" fontId="17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horizontal="left" indent="1"/>
    </xf>
    <xf numFmtId="0" fontId="18" fillId="0" borderId="0">
      <alignment horizontal="left"/>
    </xf>
    <xf numFmtId="0" fontId="19" fillId="0" borderId="0">
      <alignment vertical="center"/>
    </xf>
    <xf numFmtId="0" fontId="20" fillId="0" borderId="0">
      <alignment horizontal="left" vertical="center" indent="1"/>
    </xf>
    <xf numFmtId="0" fontId="21" fillId="0" borderId="0">
      <alignment horizontal="left" wrapText="1" indent="1"/>
    </xf>
    <xf numFmtId="0" fontId="5" fillId="0" borderId="5">
      <alignment horizontal="left" wrapText="1" indent="2"/>
    </xf>
    <xf numFmtId="0" fontId="23" fillId="0" borderId="6" applyNumberFormat="0" applyAlignment="0">
      <alignment vertical="center"/>
    </xf>
    <xf numFmtId="0" fontId="4" fillId="0" borderId="0" applyNumberFormat="0" applyAlignment="0"/>
    <xf numFmtId="0" fontId="15" fillId="8" borderId="7" applyBorder="0" applyAlignment="0">
      <alignment vertical="center"/>
    </xf>
    <xf numFmtId="0" fontId="3" fillId="0" borderId="0"/>
    <xf numFmtId="0" fontId="26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26" fillId="0" borderId="10" applyNumberFormat="0" applyFill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7">
    <xf numFmtId="164" fontId="0" fillId="0" borderId="0" xfId="0">
      <alignment horizontal="right" vertical="center"/>
    </xf>
    <xf numFmtId="0" fontId="3" fillId="0" borderId="0" xfId="28"/>
    <xf numFmtId="0" fontId="28" fillId="7" borderId="3" xfId="29" applyFont="1" applyFill="1" applyBorder="1" applyAlignment="1">
      <alignment vertical="center"/>
    </xf>
    <xf numFmtId="0" fontId="3" fillId="6" borderId="8" xfId="28" applyFill="1" applyBorder="1" applyAlignment="1">
      <alignment horizontal="left" vertical="center" indent="1"/>
    </xf>
    <xf numFmtId="167" fontId="22" fillId="9" borderId="13" xfId="32" applyNumberFormat="1" applyFont="1" applyFill="1" applyBorder="1" applyAlignment="1"/>
    <xf numFmtId="167" fontId="15" fillId="9" borderId="13" xfId="32" applyNumberFormat="1" applyFont="1" applyFill="1" applyBorder="1" applyAlignment="1"/>
    <xf numFmtId="167" fontId="3" fillId="9" borderId="13" xfId="32" applyNumberFormat="1" applyFont="1" applyFill="1" applyBorder="1" applyAlignment="1"/>
    <xf numFmtId="167" fontId="15" fillId="0" borderId="0" xfId="28" applyNumberFormat="1" applyFont="1"/>
    <xf numFmtId="0" fontId="22" fillId="6" borderId="0" xfId="31" applyFont="1" applyFill="1" applyBorder="1" applyAlignment="1">
      <alignment horizontal="left" vertical="center"/>
    </xf>
    <xf numFmtId="0" fontId="1" fillId="0" borderId="0" xfId="28" applyFont="1"/>
    <xf numFmtId="6" fontId="1" fillId="0" borderId="0" xfId="28" applyNumberFormat="1" applyFont="1"/>
    <xf numFmtId="164" fontId="1" fillId="0" borderId="0" xfId="28" applyNumberFormat="1" applyFont="1"/>
    <xf numFmtId="166" fontId="13" fillId="10" borderId="0" xfId="30" applyNumberFormat="1" applyFont="1" applyFill="1" applyBorder="1" applyAlignment="1">
      <alignment horizontal="right" vertical="center" indent="1"/>
    </xf>
    <xf numFmtId="164" fontId="13" fillId="10" borderId="0" xfId="32" applyNumberFormat="1" applyFont="1" applyFill="1" applyBorder="1" applyAlignment="1">
      <alignment horizontal="right" vertical="center" indent="1"/>
    </xf>
    <xf numFmtId="165" fontId="13" fillId="10" borderId="0" xfId="33" applyNumberFormat="1" applyFont="1" applyFill="1" applyBorder="1" applyAlignment="1">
      <alignment horizontal="right" vertical="center" indent="1"/>
    </xf>
    <xf numFmtId="9" fontId="13" fillId="10" borderId="0" xfId="33" applyFont="1" applyFill="1" applyBorder="1" applyAlignment="1">
      <alignment horizontal="center" vertical="center"/>
    </xf>
    <xf numFmtId="165" fontId="13" fillId="10" borderId="0" xfId="33" applyNumberFormat="1" applyFont="1" applyFill="1" applyBorder="1" applyAlignment="1">
      <alignment horizontal="center" vertical="center"/>
    </xf>
    <xf numFmtId="9" fontId="13" fillId="10" borderId="0" xfId="33" applyFont="1" applyFill="1" applyBorder="1" applyAlignment="1">
      <alignment horizontal="right" vertical="center" indent="1"/>
    </xf>
    <xf numFmtId="166" fontId="22" fillId="10" borderId="0" xfId="30" applyNumberFormat="1" applyFont="1" applyFill="1" applyBorder="1" applyAlignment="1">
      <alignment horizontal="center" vertical="center"/>
    </xf>
    <xf numFmtId="0" fontId="29" fillId="0" borderId="0" xfId="28" applyFont="1" applyAlignment="1">
      <alignment horizontal="center"/>
    </xf>
    <xf numFmtId="165" fontId="22" fillId="6" borderId="14" xfId="33" applyNumberFormat="1" applyFont="1" applyFill="1" applyBorder="1" applyAlignment="1">
      <alignment horizontal="center" vertical="center"/>
    </xf>
    <xf numFmtId="165" fontId="22" fillId="6" borderId="15" xfId="33" applyNumberFormat="1" applyFont="1" applyFill="1" applyBorder="1" applyAlignment="1">
      <alignment horizontal="center" vertical="center"/>
    </xf>
    <xf numFmtId="0" fontId="1" fillId="6" borderId="8" xfId="28" applyFont="1" applyFill="1" applyBorder="1" applyAlignment="1">
      <alignment horizontal="left" vertical="center" indent="1"/>
    </xf>
    <xf numFmtId="0" fontId="3" fillId="6" borderId="8" xfId="28" applyFill="1" applyBorder="1" applyAlignment="1">
      <alignment horizontal="left" vertical="center" indent="1"/>
    </xf>
    <xf numFmtId="0" fontId="27" fillId="5" borderId="0" xfId="28" applyFont="1" applyFill="1" applyAlignment="1">
      <alignment horizontal="center"/>
    </xf>
    <xf numFmtId="0" fontId="22" fillId="6" borderId="11" xfId="31" applyFont="1" applyFill="1" applyBorder="1" applyAlignment="1">
      <alignment horizontal="right" vertical="center" indent="1"/>
    </xf>
    <xf numFmtId="0" fontId="22" fillId="6" borderId="12" xfId="31" applyFont="1" applyFill="1" applyBorder="1" applyAlignment="1">
      <alignment horizontal="right" vertical="center" indent="1"/>
    </xf>
    <xf numFmtId="0" fontId="22" fillId="6" borderId="17" xfId="31" applyFont="1" applyFill="1" applyBorder="1" applyAlignment="1">
      <alignment horizontal="left" vertical="center" indent="1"/>
    </xf>
    <xf numFmtId="0" fontId="22" fillId="6" borderId="16" xfId="31" applyFont="1" applyFill="1" applyBorder="1" applyAlignment="1">
      <alignment horizontal="left" vertical="center" indent="1"/>
    </xf>
    <xf numFmtId="0" fontId="22" fillId="6" borderId="11" xfId="31" applyFont="1" applyFill="1" applyBorder="1" applyAlignment="1">
      <alignment horizontal="left" vertical="center" indent="1"/>
    </xf>
    <xf numFmtId="0" fontId="22" fillId="6" borderId="12" xfId="31" applyFont="1" applyFill="1" applyBorder="1" applyAlignment="1">
      <alignment horizontal="left" vertical="center" indent="1"/>
    </xf>
    <xf numFmtId="0" fontId="2" fillId="6" borderId="8" xfId="28" applyFont="1" applyFill="1" applyBorder="1" applyAlignment="1">
      <alignment horizontal="left" vertical="center" indent="1"/>
    </xf>
    <xf numFmtId="0" fontId="13" fillId="6" borderId="0" xfId="31" applyFont="1" applyFill="1" applyBorder="1" applyAlignment="1">
      <alignment horizontal="left" vertical="center" wrapText="1" indent="1"/>
    </xf>
    <xf numFmtId="0" fontId="24" fillId="5" borderId="0" xfId="17" applyFont="1" applyFill="1" applyAlignment="1">
      <alignment horizontal="center" vertical="center"/>
    </xf>
    <xf numFmtId="0" fontId="25" fillId="0" borderId="9" xfId="28" applyFont="1" applyBorder="1" applyAlignment="1" applyProtection="1">
      <alignment horizontal="center" vertical="center"/>
      <protection locked="0"/>
    </xf>
    <xf numFmtId="0" fontId="14" fillId="7" borderId="3" xfId="29" applyFont="1" applyFill="1" applyBorder="1" applyAlignment="1">
      <alignment horizontal="center" vertical="center"/>
    </xf>
    <xf numFmtId="0" fontId="14" fillId="7" borderId="2" xfId="29" applyFont="1" applyFill="1" applyBorder="1" applyAlignment="1">
      <alignment horizontal="center" vertical="center"/>
    </xf>
  </cellXfs>
  <cellStyles count="34">
    <cellStyle name="Comma" xfId="6" builtinId="3" customBuiltin="1"/>
    <cellStyle name="Comma 2" xfId="18" xr:uid="{A5A9CC95-246A-42B6-8EE6-4A2B614FBC8B}"/>
    <cellStyle name="Comma 3" xfId="30" xr:uid="{83131DD7-CDD9-48FD-9113-8834423CB0A1}"/>
    <cellStyle name="Currency" xfId="7" builtinId="4" customBuiltin="1"/>
    <cellStyle name="Currency 2" xfId="14" xr:uid="{2D4D559D-870C-4087-A8EC-74D2EABDB0C0}"/>
    <cellStyle name="Currency 3" xfId="32" xr:uid="{DB4FF86B-AC86-42EA-81CC-E3427D73119A}"/>
    <cellStyle name="Date" xfId="11" xr:uid="{B7631568-517E-41E4-BE40-284C6B5D2140}"/>
    <cellStyle name="Heading 1" xfId="1" builtinId="16" customBuiltin="1"/>
    <cellStyle name="Heading 1 2" xfId="16" xr:uid="{696FE217-CFE6-401B-A7CC-32AA794BCB42}"/>
    <cellStyle name="Heading 1 3" xfId="20" xr:uid="{149E98E6-B7E9-456B-8184-7F9777D8D2E5}"/>
    <cellStyle name="Heading 2" xfId="2" builtinId="17" customBuiltin="1"/>
    <cellStyle name="Heading 2 2" xfId="23" xr:uid="{164A2184-8A0C-47AE-B068-64D84E2552F6}"/>
    <cellStyle name="Heading 3" xfId="3" builtinId="18" customBuiltin="1"/>
    <cellStyle name="Heading 3 2" xfId="24" xr:uid="{910BA03F-248D-4656-9898-84F46FE36F58}"/>
    <cellStyle name="Heading 3 3" xfId="31" xr:uid="{73A0308A-7D51-47E7-B54B-AA91A826F776}"/>
    <cellStyle name="Heading 4" xfId="12" builtinId="19" customBuiltin="1"/>
    <cellStyle name="Heading 4 2" xfId="29" xr:uid="{A5C2B727-3DC0-4E3F-A139-1FFBB86A0C37}"/>
    <cellStyle name="Input" xfId="4" builtinId="20" customBuiltin="1"/>
    <cellStyle name="Normal" xfId="0" builtinId="0" customBuiltin="1"/>
    <cellStyle name="Normal 2" xfId="13" xr:uid="{DB7EA856-CEB7-4E2D-94B2-4D68F4654C40}"/>
    <cellStyle name="Normal 3" xfId="19" xr:uid="{14D7038D-7508-41A7-9B51-9C49913D80BF}"/>
    <cellStyle name="Normal 4" xfId="26" xr:uid="{22281DD5-D109-4C8B-8FCC-B755A7B8FC9E}"/>
    <cellStyle name="Normal 5" xfId="28" xr:uid="{AD880C48-A8A1-4AEC-8D04-22F2E6916340}"/>
    <cellStyle name="Note" xfId="10" builtinId="10" customBuiltin="1"/>
    <cellStyle name="Output" xfId="9" builtinId="21" customBuiltin="1"/>
    <cellStyle name="Output 2" xfId="22" xr:uid="{444C575F-9A1B-4F72-9242-BB33A8BAAE7D}"/>
    <cellStyle name="Percent" xfId="8" builtinId="5" customBuiltin="1"/>
    <cellStyle name="Percent 2" xfId="15" xr:uid="{891A0E44-659B-41FB-83C6-EF22B9D6C1E5}"/>
    <cellStyle name="Percent 3" xfId="33" xr:uid="{C67A0B70-4E23-4A53-81B1-AD2E0024B42C}"/>
    <cellStyle name="Style 1" xfId="27" xr:uid="{35BB2F12-A121-48A4-A00F-F856DCA160CE}"/>
    <cellStyle name="Style 4" xfId="25" xr:uid="{541990F5-EA81-4E69-AE41-9C8ED1C56A3B}"/>
    <cellStyle name="Title" xfId="5" builtinId="15" customBuiltin="1"/>
    <cellStyle name="Title 2" xfId="17" xr:uid="{2C2C796A-203A-4E8C-A686-D8BCB160A406}"/>
    <cellStyle name="Title 3" xfId="21" xr:uid="{BC82FB45-C76C-4A39-BB5C-304E7EF3BB80}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fgColor theme="0" tint="-4.9989318521683403E-2"/>
          <bgColor theme="0" tint="-4.9989318521683403E-2"/>
        </patternFill>
      </fill>
      <border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</border>
    </dxf>
    <dxf>
      <font>
        <color theme="1"/>
      </font>
      <fill>
        <patternFill>
          <fgColor theme="2"/>
          <bgColor theme="2"/>
        </patternFill>
      </fill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/>
        <horizontal/>
      </border>
    </dxf>
    <dxf>
      <font>
        <b/>
        <i val="0"/>
        <color theme="0"/>
      </font>
      <fill>
        <patternFill>
          <fgColor theme="2" tint="-0.749961851863155"/>
          <bgColor theme="2" tint="-0.749961851863155"/>
        </patternFill>
      </fill>
    </dxf>
    <dxf>
      <font>
        <color theme="1"/>
      </font>
      <fill>
        <patternFill>
          <fgColor theme="0" tint="-4.9989318521683403E-2"/>
          <bgColor theme="0" tint="-4.9989318521683403E-2"/>
        </patternFill>
      </fill>
    </dxf>
    <dxf>
      <fill>
        <patternFill patternType="none">
          <bgColor auto="1"/>
        </patternFill>
      </fill>
    </dxf>
    <dxf>
      <fill>
        <patternFill>
          <bgColor theme="7" tint="0.39994506668294322"/>
        </patternFill>
      </fill>
    </dxf>
    <dxf>
      <fill>
        <patternFill>
          <bgColor theme="6" tint="-0.24994659260841701"/>
        </patternFill>
      </fill>
    </dxf>
    <dxf>
      <border>
        <top style="mediumDashed">
          <color auto="1"/>
        </top>
      </border>
    </dxf>
    <dxf>
      <font>
        <b/>
        <i val="0"/>
      </font>
      <fill>
        <patternFill>
          <bgColor theme="6" tint="-0.24994659260841701"/>
        </patternFill>
      </fill>
      <border>
        <top style="medium">
          <color auto="1"/>
        </top>
        <bottom style="medium">
          <color auto="1"/>
        </bottom>
      </border>
    </dxf>
    <dxf>
      <font>
        <color theme="1"/>
      </font>
      <border>
        <top style="medium">
          <color theme="0"/>
        </top>
        <bottom style="medium">
          <color theme="0"/>
        </bottom>
        <horizontal style="medium">
          <color theme="0"/>
        </horizontal>
      </border>
    </dxf>
    <dxf>
      <font>
        <b/>
        <i val="0"/>
        <color theme="0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0"/>
      </font>
      <fill>
        <patternFill patternType="solid">
          <bgColor theme="1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0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0"/>
      </font>
      <fill>
        <patternFill patternType="solid">
          <bgColor theme="1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2" defaultPivotStyle="PivotStyleLight16">
    <tableStyle name="Investment Tracker Table" pivot="0" count="2" xr9:uid="{A02216D3-79E3-4703-9918-AD9C691CC2BA}">
      <tableStyleElement type="wholeTable" dxfId="15"/>
      <tableStyleElement type="headerRow" dxfId="14"/>
    </tableStyle>
    <tableStyle name="Investment Tracker Table 2" pivot="0" count="2" xr9:uid="{D720F04F-7B58-4BFB-B35F-A6FCE10A9047}">
      <tableStyleElement type="wholeTable" dxfId="13"/>
      <tableStyleElement type="headerRow" dxfId="12"/>
    </tableStyle>
    <tableStyle name="Table Style 1" pivot="0" count="6" xr9:uid="{6EA8F4DF-9EED-4993-B57F-2E9E3D8C767E}">
      <tableStyleElement type="wholeTable" dxfId="11"/>
      <tableStyleElement type="headerRow" dxfId="10"/>
      <tableStyleElement type="totalRow" dxfId="9"/>
      <tableStyleElement type="lastColumn" dxfId="8"/>
      <tableStyleElement type="firstRowStripe" dxfId="7"/>
      <tableStyleElement type="lastTotalCell" dxfId="6"/>
    </tableStyle>
    <tableStyle name="Table Style 1 2" pivot="0" count="0" xr9:uid="{877943EF-DE18-4CC6-A1C5-DE7892ACAAD5}"/>
    <tableStyle name="Table Style 2" pivot="0" count="4" xr9:uid="{39CCEAEC-12D0-334A-BFF2-D0C988CA1E71}">
      <tableStyleElement type="wholeTable" dxfId="5"/>
      <tableStyleElement type="headerRow" dxfId="4"/>
      <tableStyleElement type="firstRowStripe" dxfId="3"/>
      <tableStyleElement type="secondRowStripe" dxfId="2"/>
    </tableStyle>
  </tableStyles>
  <colors>
    <mruColors>
      <color rgb="FF339933"/>
      <color rgb="FF00CC00"/>
      <color rgb="FFD4E2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39933"/>
            </a:solidFill>
            <a:ln>
              <a:noFill/>
            </a:ln>
            <a:effectLst/>
          </c:spPr>
          <c:invertIfNegative val="0"/>
          <c:cat>
            <c:numRef>
              <c:f>Sheet1!$K$2:$K$72</c:f>
              <c:numCache>
                <c:formatCode>General</c:formatCode>
                <c:ptCount val="71"/>
                <c:pt idx="0">
                  <c:v>30</c:v>
                </c:pt>
                <c:pt idx="1">
                  <c:v>31</c:v>
                </c:pt>
                <c:pt idx="2">
                  <c:v>32</c:v>
                </c:pt>
                <c:pt idx="3">
                  <c:v>33</c:v>
                </c:pt>
                <c:pt idx="4">
                  <c:v>34</c:v>
                </c:pt>
                <c:pt idx="5">
                  <c:v>35</c:v>
                </c:pt>
                <c:pt idx="6">
                  <c:v>36</c:v>
                </c:pt>
                <c:pt idx="7">
                  <c:v>37</c:v>
                </c:pt>
                <c:pt idx="8">
                  <c:v>38</c:v>
                </c:pt>
                <c:pt idx="9">
                  <c:v>39</c:v>
                </c:pt>
                <c:pt idx="10">
                  <c:v>40</c:v>
                </c:pt>
                <c:pt idx="11">
                  <c:v>41</c:v>
                </c:pt>
                <c:pt idx="12">
                  <c:v>42</c:v>
                </c:pt>
                <c:pt idx="13">
                  <c:v>43</c:v>
                </c:pt>
                <c:pt idx="14">
                  <c:v>44</c:v>
                </c:pt>
                <c:pt idx="15">
                  <c:v>45</c:v>
                </c:pt>
                <c:pt idx="16">
                  <c:v>46</c:v>
                </c:pt>
                <c:pt idx="17">
                  <c:v>47</c:v>
                </c:pt>
                <c:pt idx="18">
                  <c:v>48</c:v>
                </c:pt>
                <c:pt idx="19">
                  <c:v>49</c:v>
                </c:pt>
                <c:pt idx="20">
                  <c:v>50</c:v>
                </c:pt>
                <c:pt idx="21">
                  <c:v>51</c:v>
                </c:pt>
                <c:pt idx="22">
                  <c:v>52</c:v>
                </c:pt>
                <c:pt idx="23">
                  <c:v>53</c:v>
                </c:pt>
                <c:pt idx="24">
                  <c:v>54</c:v>
                </c:pt>
                <c:pt idx="25">
                  <c:v>55</c:v>
                </c:pt>
                <c:pt idx="26">
                  <c:v>56</c:v>
                </c:pt>
                <c:pt idx="27">
                  <c:v>57</c:v>
                </c:pt>
                <c:pt idx="28">
                  <c:v>58</c:v>
                </c:pt>
                <c:pt idx="29">
                  <c:v>59</c:v>
                </c:pt>
                <c:pt idx="30">
                  <c:v>60</c:v>
                </c:pt>
                <c:pt idx="31">
                  <c:v>61</c:v>
                </c:pt>
                <c:pt idx="32">
                  <c:v>62</c:v>
                </c:pt>
                <c:pt idx="33">
                  <c:v>63</c:v>
                </c:pt>
                <c:pt idx="34">
                  <c:v>64</c:v>
                </c:pt>
                <c:pt idx="35">
                  <c:v>65</c:v>
                </c:pt>
                <c:pt idx="36">
                  <c:v>66</c:v>
                </c:pt>
                <c:pt idx="37">
                  <c:v>67</c:v>
                </c:pt>
                <c:pt idx="38">
                  <c:v>68</c:v>
                </c:pt>
                <c:pt idx="39">
                  <c:v>69</c:v>
                </c:pt>
                <c:pt idx="40">
                  <c:v>70</c:v>
                </c:pt>
                <c:pt idx="41">
                  <c:v>71</c:v>
                </c:pt>
                <c:pt idx="42">
                  <c:v>72</c:v>
                </c:pt>
                <c:pt idx="43">
                  <c:v>73</c:v>
                </c:pt>
                <c:pt idx="44">
                  <c:v>74</c:v>
                </c:pt>
                <c:pt idx="45">
                  <c:v>75</c:v>
                </c:pt>
                <c:pt idx="46">
                  <c:v>76</c:v>
                </c:pt>
                <c:pt idx="47">
                  <c:v>77</c:v>
                </c:pt>
                <c:pt idx="48">
                  <c:v>78</c:v>
                </c:pt>
                <c:pt idx="49">
                  <c:v>79</c:v>
                </c:pt>
                <c:pt idx="50">
                  <c:v>80</c:v>
                </c:pt>
                <c:pt idx="51">
                  <c:v>81</c:v>
                </c:pt>
                <c:pt idx="52">
                  <c:v>82</c:v>
                </c:pt>
                <c:pt idx="53">
                  <c:v>83</c:v>
                </c:pt>
                <c:pt idx="54">
                  <c:v>84</c:v>
                </c:pt>
                <c:pt idx="55">
                  <c:v>85</c:v>
                </c:pt>
                <c:pt idx="56">
                  <c:v>86</c:v>
                </c:pt>
                <c:pt idx="57">
                  <c:v>87</c:v>
                </c:pt>
                <c:pt idx="58">
                  <c:v>88</c:v>
                </c:pt>
                <c:pt idx="59">
                  <c:v>89</c:v>
                </c:pt>
                <c:pt idx="60">
                  <c:v>90</c:v>
                </c:pt>
                <c:pt idx="61">
                  <c:v>91</c:v>
                </c:pt>
                <c:pt idx="62">
                  <c:v>92</c:v>
                </c:pt>
                <c:pt idx="63">
                  <c:v>93</c:v>
                </c:pt>
                <c:pt idx="64">
                  <c:v>94</c:v>
                </c:pt>
                <c:pt idx="65">
                  <c:v>95</c:v>
                </c:pt>
                <c:pt idx="66">
                  <c:v>96</c:v>
                </c:pt>
                <c:pt idx="67">
                  <c:v>97</c:v>
                </c:pt>
                <c:pt idx="68">
                  <c:v>98</c:v>
                </c:pt>
                <c:pt idx="69">
                  <c:v>99</c:v>
                </c:pt>
                <c:pt idx="70">
                  <c:v>100</c:v>
                </c:pt>
              </c:numCache>
            </c:numRef>
          </c:cat>
          <c:val>
            <c:numRef>
              <c:f>Sheet1!$O$2:$O$72</c:f>
              <c:numCache>
                <c:formatCode>"$"#,##0_);[Red]\("$"#,##0\)</c:formatCode>
                <c:ptCount val="71"/>
                <c:pt idx="0">
                  <c:v>77174.399999999994</c:v>
                </c:pt>
                <c:pt idx="1">
                  <c:v>91002.250239999994</c:v>
                </c:pt>
                <c:pt idx="2">
                  <c:v>105515.96185190399</c:v>
                </c:pt>
                <c:pt idx="3">
                  <c:v>120749.55355975844</c:v>
                </c:pt>
                <c:pt idx="4">
                  <c:v>136738.73141632247</c:v>
                </c:pt>
                <c:pt idx="5">
                  <c:v>153520.97249457205</c:v>
                </c:pt>
                <c:pt idx="6">
                  <c:v>171135.61273030282</c:v>
                </c:pt>
                <c:pt idx="7">
                  <c:v>189623.93912172585</c:v>
                </c:pt>
                <c:pt idx="8">
                  <c:v>209029.28650216345</c:v>
                </c:pt>
                <c:pt idx="9">
                  <c:v>229397.13911267076</c:v>
                </c:pt>
                <c:pt idx="10">
                  <c:v>250775.23721265924</c:v>
                </c:pt>
                <c:pt idx="11">
                  <c:v>273213.68897840712</c:v>
                </c:pt>
                <c:pt idx="12">
                  <c:v>296765.08795173612</c:v>
                </c:pt>
                <c:pt idx="13">
                  <c:v>321484.6363141422</c:v>
                </c:pt>
                <c:pt idx="14">
                  <c:v>347430.27427532367</c:v>
                </c:pt>
                <c:pt idx="15">
                  <c:v>374662.81587937975</c:v>
                </c:pt>
                <c:pt idx="16">
                  <c:v>403246.09154699696</c:v>
                </c:pt>
                <c:pt idx="17">
                  <c:v>433247.097687728</c:v>
                </c:pt>
                <c:pt idx="18">
                  <c:v>464736.15373303933</c:v>
                </c:pt>
                <c:pt idx="19">
                  <c:v>497787.06695819809</c:v>
                </c:pt>
                <c:pt idx="20">
                  <c:v>532477.30547932466</c:v>
                </c:pt>
                <c:pt idx="21">
                  <c:v>568888.17983109911</c:v>
                </c:pt>
                <c:pt idx="22">
                  <c:v>607105.03355072159</c:v>
                </c:pt>
                <c:pt idx="23">
                  <c:v>647217.44321483735</c:v>
                </c:pt>
                <c:pt idx="24">
                  <c:v>689319.42839829333</c:v>
                </c:pt>
                <c:pt idx="25">
                  <c:v>733509.67204684869</c:v>
                </c:pt>
                <c:pt idx="26">
                  <c:v>779891.75178037235</c:v>
                </c:pt>
                <c:pt idx="27">
                  <c:v>828574.38266867877</c:v>
                </c:pt>
                <c:pt idx="28">
                  <c:v>879671.67204904521</c:v>
                </c:pt>
                <c:pt idx="29">
                  <c:v>933303.38698267785</c:v>
                </c:pt>
                <c:pt idx="30">
                  <c:v>989595.23497701867</c:v>
                </c:pt>
                <c:pt idx="31">
                  <c:v>1048679.1586318789</c:v>
                </c:pt>
                <c:pt idx="32">
                  <c:v>1110693.6449000202</c:v>
                </c:pt>
                <c:pt idx="33">
                  <c:v>1175784.0496870612</c:v>
                </c:pt>
                <c:pt idx="34">
                  <c:v>1244102.9385515396</c:v>
                </c:pt>
                <c:pt idx="35">
                  <c:v>1260810.4443036958</c:v>
                </c:pt>
                <c:pt idx="36">
                  <c:v>1278346.6423411591</c:v>
                </c:pt>
                <c:pt idx="37">
                  <c:v>1296752.6358012806</c:v>
                </c:pt>
                <c:pt idx="38">
                  <c:v>1316071.5665370242</c:v>
                </c:pt>
                <c:pt idx="39">
                  <c:v>1336348.7162372607</c:v>
                </c:pt>
                <c:pt idx="40">
                  <c:v>1357631.6125626289</c:v>
                </c:pt>
                <c:pt idx="41">
                  <c:v>1379970.1405457354</c:v>
                </c:pt>
                <c:pt idx="42">
                  <c:v>1403416.6595168039</c:v>
                </c:pt>
                <c:pt idx="43">
                  <c:v>1428026.1258288375</c:v>
                </c:pt>
                <c:pt idx="44">
                  <c:v>1453856.221669948</c:v>
                </c:pt>
                <c:pt idx="45">
                  <c:v>1480967.4902647773</c:v>
                </c:pt>
                <c:pt idx="46">
                  <c:v>1509423.4777819102</c:v>
                </c:pt>
                <c:pt idx="47">
                  <c:v>1539290.8822798929</c:v>
                </c:pt>
                <c:pt idx="48">
                  <c:v>1570639.7100409756</c:v>
                </c:pt>
                <c:pt idx="49">
                  <c:v>1603543.4396590081</c:v>
                </c:pt>
                <c:pt idx="50">
                  <c:v>1638079.1942660948</c:v>
                </c:pt>
                <c:pt idx="51">
                  <c:v>1674327.9223016931</c:v>
                </c:pt>
                <c:pt idx="52">
                  <c:v>1712374.5872478571</c:v>
                </c:pt>
                <c:pt idx="53">
                  <c:v>1752308.3667753509</c:v>
                </c:pt>
                <c:pt idx="54">
                  <c:v>1794222.8617674082</c:v>
                </c:pt>
                <c:pt idx="55">
                  <c:v>1838216.3157110717</c:v>
                </c:pt>
                <c:pt idx="56">
                  <c:v>1884391.8449703408</c:v>
                </c:pt>
                <c:pt idx="57">
                  <c:v>1932857.6804808697</c:v>
                </c:pt>
                <c:pt idx="58">
                  <c:v>1983727.421432721</c:v>
                </c:pt>
                <c:pt idx="59">
                  <c:v>2037120.301535784</c:v>
                </c:pt>
                <c:pt idx="60">
                  <c:v>2093161.4684919589</c:v>
                </c:pt>
                <c:pt idx="61">
                  <c:v>2151982.2773291599</c:v>
                </c:pt>
                <c:pt idx="62">
                  <c:v>2213720.5982846864</c:v>
                </c:pt>
                <c:pt idx="63">
                  <c:v>2278521.1399596068</c:v>
                </c:pt>
                <c:pt idx="64">
                  <c:v>2346535.7885016035</c:v>
                </c:pt>
                <c:pt idx="65">
                  <c:v>2417923.9636112829</c:v>
                </c:pt>
                <c:pt idx="66">
                  <c:v>2492852.9922064026</c:v>
                </c:pt>
                <c:pt idx="67">
                  <c:v>2571498.5006198403</c:v>
                </c:pt>
                <c:pt idx="68">
                  <c:v>2654044.8262505843</c:v>
                </c:pt>
                <c:pt idx="69">
                  <c:v>2740685.4496326135</c:v>
                </c:pt>
                <c:pt idx="70">
                  <c:v>2831623.447934391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65-49F3-86D0-840DD6C188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2087299088"/>
        <c:axId val="2087298368"/>
      </c:barChart>
      <c:catAx>
        <c:axId val="208729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298368"/>
        <c:crosses val="autoZero"/>
        <c:auto val="1"/>
        <c:lblAlgn val="ctr"/>
        <c:lblOffset val="100"/>
        <c:noMultiLvlLbl val="0"/>
      </c:catAx>
      <c:valAx>
        <c:axId val="208729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299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fmlaLink="$I$14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5713</xdr:colOff>
      <xdr:row>20</xdr:row>
      <xdr:rowOff>145132</xdr:rowOff>
    </xdr:from>
    <xdr:to>
      <xdr:col>9</xdr:col>
      <xdr:colOff>8282</xdr:colOff>
      <xdr:row>31</xdr:row>
      <xdr:rowOff>115957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52B56F6-649D-4974-B081-E36D9ED7F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13</xdr:row>
          <xdr:rowOff>0</xdr:rowOff>
        </xdr:from>
        <xdr:to>
          <xdr:col>8</xdr:col>
          <xdr:colOff>323850</xdr:colOff>
          <xdr:row>13</xdr:row>
          <xdr:rowOff>228600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Retirement Planner">
  <a:themeElements>
    <a:clrScheme name="Bright and tropical 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52549"/>
      </a:accent1>
      <a:accent2>
        <a:srgbClr val="FA6775"/>
      </a:accent2>
      <a:accent3>
        <a:srgbClr val="FFD64D"/>
      </a:accent3>
      <a:accent4>
        <a:srgbClr val="9BC01C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Custom 19">
      <a:majorFont>
        <a:latin typeface="Segoe UI Semibold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724F8-CA23-4314-A0AD-8A12D323BFF9}">
  <dimension ref="B1:R122"/>
  <sheetViews>
    <sheetView showGridLines="0" tabSelected="1" topLeftCell="A4" zoomScale="75" zoomScaleNormal="85" workbookViewId="0">
      <selection activeCell="K1" sqref="K1"/>
    </sheetView>
  </sheetViews>
  <sheetFormatPr defaultRowHeight="14.25" x14ac:dyDescent="0.2"/>
  <cols>
    <col min="1" max="1" width="2" style="1" customWidth="1"/>
    <col min="2" max="2" width="23.3984375" style="1" bestFit="1" customWidth="1"/>
    <col min="3" max="3" width="8.796875" style="1" bestFit="1" customWidth="1"/>
    <col min="4" max="4" width="11.296875" style="1" bestFit="1" customWidth="1"/>
    <col min="5" max="5" width="1" style="1" customWidth="1"/>
    <col min="6" max="6" width="16.69921875" style="1" customWidth="1"/>
    <col min="7" max="8" width="10.3984375" style="1" customWidth="1"/>
    <col min="9" max="9" width="14.5" style="1" customWidth="1"/>
    <col min="10" max="10" width="59.09765625" style="1" customWidth="1"/>
    <col min="11" max="11" width="3.8984375" style="9" bestFit="1" customWidth="1"/>
    <col min="12" max="12" width="18.3984375" style="10" bestFit="1" customWidth="1"/>
    <col min="13" max="14" width="9.296875" style="10" bestFit="1" customWidth="1"/>
    <col min="15" max="15" width="11.3984375" style="10" bestFit="1" customWidth="1"/>
    <col min="16" max="16" width="6" style="9" bestFit="1" customWidth="1"/>
    <col min="17" max="17" width="9.19921875" style="9" bestFit="1" customWidth="1"/>
    <col min="18" max="18" width="8.796875" style="9"/>
    <col min="19" max="16384" width="8.796875" style="1"/>
  </cols>
  <sheetData>
    <row r="1" spans="2:17" x14ac:dyDescent="0.2">
      <c r="K1" s="9" t="s">
        <v>0</v>
      </c>
      <c r="L1" s="10" t="s">
        <v>10</v>
      </c>
      <c r="M1" s="10" t="s">
        <v>11</v>
      </c>
      <c r="N1" s="10" t="s">
        <v>12</v>
      </c>
      <c r="O1" s="10" t="s">
        <v>13</v>
      </c>
      <c r="P1" s="9" t="s">
        <v>14</v>
      </c>
      <c r="Q1" s="9" t="s">
        <v>15</v>
      </c>
    </row>
    <row r="2" spans="2:17" ht="69" x14ac:dyDescent="0.2">
      <c r="B2" s="33" t="s">
        <v>2</v>
      </c>
      <c r="C2" s="33"/>
      <c r="D2" s="33"/>
      <c r="E2" s="33"/>
      <c r="F2" s="33"/>
      <c r="G2" s="33"/>
      <c r="H2" s="33"/>
      <c r="I2" s="33"/>
      <c r="K2" s="9">
        <f>D7</f>
        <v>30</v>
      </c>
      <c r="L2" s="10">
        <f>D8</f>
        <v>64000</v>
      </c>
      <c r="M2" s="10">
        <f>L2*$C$19</f>
        <v>3174.4000000000005</v>
      </c>
      <c r="N2" s="10">
        <f>D10</f>
        <v>10000</v>
      </c>
      <c r="O2" s="10">
        <f>SUM(L2:N2)</f>
        <v>77174.399999999994</v>
      </c>
    </row>
    <row r="3" spans="2:17" x14ac:dyDescent="0.2">
      <c r="K3" s="9">
        <f>IFERROR(IF(O2&lt;0,"",IF(K2&gt;100,"",K2+1)),"")</f>
        <v>31</v>
      </c>
      <c r="L3" s="10">
        <f>IF(K3="","",O2)</f>
        <v>77174.399999999994</v>
      </c>
      <c r="M3" s="10">
        <f t="shared" ref="M3:M66" si="0">IF(K3="","",L3*$C$19)</f>
        <v>3827.8502400000002</v>
      </c>
      <c r="N3" s="10">
        <f t="shared" ref="N3:N34" si="1">IF(K3="","",IF(K3&gt;=$I$7,0,IF($I$14=TRUE,N2*(1+$D$11-$D$12),N2*(1+$D$11))))</f>
        <v>10000</v>
      </c>
      <c r="O3" s="10">
        <f>IF(K3="","",IF(K3&lt;$I$7,SUM(L3:N3),IF(SUM(L3:N3)-Q3&gt;0,SUM(L3:N3)-Q3,"")))</f>
        <v>91002.250239999994</v>
      </c>
      <c r="P3" s="9">
        <f t="shared" ref="P3:P34" si="2">IF(K3="","",IF($I$14=TRUE,1,(1+$D$12)^(ROW(K2)-1)))</f>
        <v>1</v>
      </c>
      <c r="Q3" s="11">
        <f>$D$9*I10*P3</f>
        <v>45000</v>
      </c>
    </row>
    <row r="4" spans="2:17" ht="39" thickBot="1" x14ac:dyDescent="0.25">
      <c r="B4" s="34" t="s">
        <v>32</v>
      </c>
      <c r="C4" s="34"/>
      <c r="D4" s="34"/>
      <c r="E4" s="34"/>
      <c r="F4" s="34"/>
      <c r="G4" s="34"/>
      <c r="H4" s="34"/>
      <c r="I4" s="34"/>
      <c r="K4" s="9">
        <f t="shared" ref="K4:K67" si="3">IFERROR(IF(O3&lt;0,"",IF(K3&gt;100,"",K3+1)),"")</f>
        <v>32</v>
      </c>
      <c r="L4" s="10">
        <f t="shared" ref="L4:L67" si="4">IF(K4="","",O3)</f>
        <v>91002.250239999994</v>
      </c>
      <c r="M4" s="10">
        <f t="shared" si="0"/>
        <v>4513.7116119040002</v>
      </c>
      <c r="N4" s="10">
        <f t="shared" si="1"/>
        <v>10000</v>
      </c>
      <c r="O4" s="10">
        <f t="shared" ref="O4:O67" si="5">IF(K4="","",IF(K4&lt;$I$7,SUM(L4:N4),SUM(L4:N4)-Q4))</f>
        <v>105515.96185190399</v>
      </c>
      <c r="P4" s="9">
        <f t="shared" si="2"/>
        <v>1</v>
      </c>
      <c r="Q4" s="11">
        <f>IF(K4="","",$D$9*$I$10*P4)</f>
        <v>45000</v>
      </c>
    </row>
    <row r="5" spans="2:17" ht="15" thickTop="1" x14ac:dyDescent="0.2">
      <c r="K5" s="9">
        <f t="shared" si="3"/>
        <v>33</v>
      </c>
      <c r="L5" s="10">
        <f t="shared" si="4"/>
        <v>105515.96185190399</v>
      </c>
      <c r="M5" s="10">
        <f t="shared" si="0"/>
        <v>5233.5917078544389</v>
      </c>
      <c r="N5" s="10">
        <f t="shared" si="1"/>
        <v>10000</v>
      </c>
      <c r="O5" s="10">
        <f t="shared" si="5"/>
        <v>120749.55355975844</v>
      </c>
      <c r="P5" s="9">
        <f t="shared" si="2"/>
        <v>1</v>
      </c>
      <c r="Q5" s="11">
        <f t="shared" ref="Q5:Q68" si="6">IF(K5="","",IF(N5=0,$D$9*$I$10*P5-$I$9*P5,$D$9*$I$10*P5))</f>
        <v>45000</v>
      </c>
    </row>
    <row r="6" spans="2:17" ht="27" thickBot="1" x14ac:dyDescent="0.25">
      <c r="B6" s="35" t="s">
        <v>1</v>
      </c>
      <c r="C6" s="36"/>
      <c r="D6" s="36"/>
      <c r="F6" s="36" t="s">
        <v>4</v>
      </c>
      <c r="G6" s="36"/>
      <c r="H6" s="36"/>
      <c r="I6" s="36"/>
      <c r="K6" s="9">
        <f t="shared" si="3"/>
        <v>34</v>
      </c>
      <c r="L6" s="10">
        <f t="shared" si="4"/>
        <v>120749.55355975844</v>
      </c>
      <c r="M6" s="10">
        <f t="shared" si="0"/>
        <v>5989.1778565640188</v>
      </c>
      <c r="N6" s="10">
        <f t="shared" si="1"/>
        <v>10000</v>
      </c>
      <c r="O6" s="10">
        <f t="shared" si="5"/>
        <v>136738.73141632247</v>
      </c>
      <c r="P6" s="9">
        <f t="shared" si="2"/>
        <v>1</v>
      </c>
      <c r="Q6" s="11">
        <f t="shared" si="6"/>
        <v>45000</v>
      </c>
    </row>
    <row r="7" spans="2:17" ht="15.75" customHeight="1" thickBot="1" x14ac:dyDescent="0.25">
      <c r="B7" s="23" t="s">
        <v>3</v>
      </c>
      <c r="C7" s="23"/>
      <c r="D7" s="12">
        <v>30</v>
      </c>
      <c r="F7" s="32" t="s">
        <v>5</v>
      </c>
      <c r="G7" s="32"/>
      <c r="H7" s="32"/>
      <c r="I7" s="12">
        <v>65</v>
      </c>
      <c r="K7" s="9">
        <f t="shared" si="3"/>
        <v>35</v>
      </c>
      <c r="L7" s="10">
        <f t="shared" si="4"/>
        <v>136738.73141632247</v>
      </c>
      <c r="M7" s="10">
        <f t="shared" si="0"/>
        <v>6782.2410782495954</v>
      </c>
      <c r="N7" s="10">
        <f t="shared" si="1"/>
        <v>10000</v>
      </c>
      <c r="O7" s="10">
        <f t="shared" si="5"/>
        <v>153520.97249457205</v>
      </c>
      <c r="P7" s="9">
        <f t="shared" si="2"/>
        <v>1</v>
      </c>
      <c r="Q7" s="11">
        <f t="shared" si="6"/>
        <v>45000</v>
      </c>
    </row>
    <row r="8" spans="2:17" ht="15.75" customHeight="1" thickBot="1" x14ac:dyDescent="0.25">
      <c r="B8" s="23" t="s">
        <v>9</v>
      </c>
      <c r="C8" s="23"/>
      <c r="D8" s="13">
        <v>64000</v>
      </c>
      <c r="F8" s="32" t="s">
        <v>16</v>
      </c>
      <c r="G8" s="32"/>
      <c r="H8" s="32"/>
      <c r="I8" s="14">
        <v>0.04</v>
      </c>
      <c r="K8" s="9">
        <f t="shared" si="3"/>
        <v>36</v>
      </c>
      <c r="L8" s="10">
        <f t="shared" si="4"/>
        <v>153520.97249457205</v>
      </c>
      <c r="M8" s="10">
        <f t="shared" si="0"/>
        <v>7614.6402357307743</v>
      </c>
      <c r="N8" s="10">
        <f t="shared" si="1"/>
        <v>10000</v>
      </c>
      <c r="O8" s="10">
        <f t="shared" si="5"/>
        <v>171135.61273030282</v>
      </c>
      <c r="P8" s="9">
        <f t="shared" si="2"/>
        <v>1</v>
      </c>
      <c r="Q8" s="11">
        <f t="shared" si="6"/>
        <v>45000</v>
      </c>
    </row>
    <row r="9" spans="2:17" ht="15.75" customHeight="1" thickBot="1" x14ac:dyDescent="0.25">
      <c r="B9" s="23" t="s">
        <v>17</v>
      </c>
      <c r="C9" s="23"/>
      <c r="D9" s="13">
        <v>50000</v>
      </c>
      <c r="F9" s="32" t="s">
        <v>18</v>
      </c>
      <c r="G9" s="32"/>
      <c r="H9" s="32"/>
      <c r="I9" s="13">
        <v>0</v>
      </c>
      <c r="K9" s="9">
        <f t="shared" si="3"/>
        <v>37</v>
      </c>
      <c r="L9" s="10">
        <f t="shared" si="4"/>
        <v>171135.61273030282</v>
      </c>
      <c r="M9" s="10">
        <f t="shared" si="0"/>
        <v>8488.3263914230211</v>
      </c>
      <c r="N9" s="10">
        <f t="shared" si="1"/>
        <v>10000</v>
      </c>
      <c r="O9" s="10">
        <f t="shared" si="5"/>
        <v>189623.93912172585</v>
      </c>
      <c r="P9" s="9">
        <f t="shared" si="2"/>
        <v>1</v>
      </c>
      <c r="Q9" s="11">
        <f>IF(K9="","",IF(N9=0,$D$9*$I$10*P9-$I$9*P9,$D$9*$I$10*P9))</f>
        <v>45000</v>
      </c>
    </row>
    <row r="10" spans="2:17" ht="15.75" customHeight="1" thickBot="1" x14ac:dyDescent="0.25">
      <c r="B10" s="31" t="s">
        <v>30</v>
      </c>
      <c r="C10" s="23"/>
      <c r="D10" s="13">
        <v>10000</v>
      </c>
      <c r="F10" s="32" t="s">
        <v>19</v>
      </c>
      <c r="G10" s="32"/>
      <c r="H10" s="32"/>
      <c r="I10" s="17">
        <v>0.9</v>
      </c>
      <c r="K10" s="9">
        <f t="shared" si="3"/>
        <v>38</v>
      </c>
      <c r="L10" s="10">
        <f t="shared" si="4"/>
        <v>189623.93912172585</v>
      </c>
      <c r="M10" s="10">
        <f t="shared" si="0"/>
        <v>9405.3473804376026</v>
      </c>
      <c r="N10" s="10">
        <f t="shared" si="1"/>
        <v>10000</v>
      </c>
      <c r="O10" s="10">
        <f t="shared" si="5"/>
        <v>209029.28650216345</v>
      </c>
      <c r="P10" s="9">
        <f t="shared" si="2"/>
        <v>1</v>
      </c>
      <c r="Q10" s="11">
        <f t="shared" si="6"/>
        <v>45000</v>
      </c>
    </row>
    <row r="11" spans="2:17" ht="15.75" customHeight="1" thickBot="1" x14ac:dyDescent="0.25">
      <c r="B11" s="22" t="s">
        <v>31</v>
      </c>
      <c r="C11" s="23"/>
      <c r="D11" s="14">
        <v>0.03</v>
      </c>
      <c r="K11" s="9">
        <f t="shared" si="3"/>
        <v>39</v>
      </c>
      <c r="L11" s="10">
        <f t="shared" si="4"/>
        <v>209029.28650216345</v>
      </c>
      <c r="M11" s="10">
        <f t="shared" si="0"/>
        <v>10367.852610507309</v>
      </c>
      <c r="N11" s="10">
        <f t="shared" si="1"/>
        <v>10000</v>
      </c>
      <c r="O11" s="10">
        <f t="shared" si="5"/>
        <v>229397.13911267076</v>
      </c>
      <c r="P11" s="9">
        <f t="shared" si="2"/>
        <v>1</v>
      </c>
      <c r="Q11" s="11">
        <f t="shared" si="6"/>
        <v>45000</v>
      </c>
    </row>
    <row r="12" spans="2:17" ht="15.75" customHeight="1" thickBot="1" x14ac:dyDescent="0.25">
      <c r="B12" s="23" t="s">
        <v>20</v>
      </c>
      <c r="C12" s="23"/>
      <c r="D12" s="14">
        <v>0.03</v>
      </c>
      <c r="F12" s="24" t="str">
        <f>IF(MATCH(0,O:O,-1)+K2-1&gt;100,"At age 100, your portfolio will be worth "&amp;IF(_xlfn.XLOOKUP(100,K:K,O:O)&gt;1000000,TEXT((_xlfn.XLOOKUP(100,K:K,O:O)/1000000),"$0.0")&amp;"M",TEXT((_xlfn.XLOOKUP(100,K:K,O:O)/1000),"$0")&amp;"K"),"You will run out of money by age "&amp;MATCH(0,O:O,-1)+K2-1)</f>
        <v>At age 100, your portfolio will be worth $2.8M</v>
      </c>
      <c r="G12" s="24"/>
      <c r="H12" s="24"/>
      <c r="I12" s="24"/>
      <c r="K12" s="9">
        <f t="shared" si="3"/>
        <v>40</v>
      </c>
      <c r="L12" s="10">
        <f t="shared" si="4"/>
        <v>229397.13911267076</v>
      </c>
      <c r="M12" s="10">
        <f t="shared" si="0"/>
        <v>11378.09809998847</v>
      </c>
      <c r="N12" s="10">
        <f t="shared" si="1"/>
        <v>10000</v>
      </c>
      <c r="O12" s="10">
        <f t="shared" si="5"/>
        <v>250775.23721265924</v>
      </c>
      <c r="P12" s="9">
        <f t="shared" si="2"/>
        <v>1</v>
      </c>
      <c r="Q12" s="11">
        <f t="shared" si="6"/>
        <v>45000</v>
      </c>
    </row>
    <row r="13" spans="2:17" ht="15" thickBot="1" x14ac:dyDescent="0.25">
      <c r="K13" s="9">
        <f t="shared" si="3"/>
        <v>41</v>
      </c>
      <c r="L13" s="10">
        <f t="shared" si="4"/>
        <v>250775.23721265924</v>
      </c>
      <c r="M13" s="10">
        <f t="shared" si="0"/>
        <v>12438.451765747899</v>
      </c>
      <c r="N13" s="10">
        <f t="shared" si="1"/>
        <v>10000</v>
      </c>
      <c r="O13" s="10">
        <f t="shared" si="5"/>
        <v>273213.68897840712</v>
      </c>
      <c r="P13" s="9">
        <f t="shared" si="2"/>
        <v>1</v>
      </c>
      <c r="Q13" s="11">
        <f t="shared" si="6"/>
        <v>45000</v>
      </c>
    </row>
    <row r="14" spans="2:17" ht="18.75" customHeight="1" thickBot="1" x14ac:dyDescent="0.25">
      <c r="B14" s="2" t="s">
        <v>21</v>
      </c>
      <c r="C14" s="2" t="s">
        <v>8</v>
      </c>
      <c r="D14" s="2" t="s">
        <v>22</v>
      </c>
      <c r="F14" s="25" t="s">
        <v>29</v>
      </c>
      <c r="G14" s="26"/>
      <c r="H14" s="26"/>
      <c r="I14" s="18" t="b">
        <v>1</v>
      </c>
      <c r="K14" s="9">
        <f t="shared" si="3"/>
        <v>42</v>
      </c>
      <c r="L14" s="10">
        <f t="shared" si="4"/>
        <v>273213.68897840712</v>
      </c>
      <c r="M14" s="10">
        <f t="shared" si="0"/>
        <v>13551.398973328995</v>
      </c>
      <c r="N14" s="10">
        <f t="shared" si="1"/>
        <v>10000</v>
      </c>
      <c r="O14" s="10">
        <f t="shared" si="5"/>
        <v>296765.08795173612</v>
      </c>
      <c r="P14" s="9">
        <f t="shared" si="2"/>
        <v>1</v>
      </c>
      <c r="Q14" s="11">
        <f t="shared" si="6"/>
        <v>45000</v>
      </c>
    </row>
    <row r="15" spans="2:17" ht="15.75" thickBot="1" x14ac:dyDescent="0.25">
      <c r="B15" s="3" t="s">
        <v>6</v>
      </c>
      <c r="C15" s="15">
        <v>0.05</v>
      </c>
      <c r="D15" s="16">
        <v>0.03</v>
      </c>
      <c r="F15" s="27" t="str">
        <f>"At age "&amp;I7&amp;" your portfolio will be worth"</f>
        <v>At age 65 your portfolio will be worth</v>
      </c>
      <c r="G15" s="28"/>
      <c r="H15" s="28"/>
      <c r="I15" s="4">
        <f>_xlfn.XLOOKUP(I7-1,K:K,O:O)</f>
        <v>1244102.9385515396</v>
      </c>
      <c r="K15" s="9">
        <f t="shared" si="3"/>
        <v>43</v>
      </c>
      <c r="L15" s="10">
        <f t="shared" si="4"/>
        <v>296765.08795173612</v>
      </c>
      <c r="M15" s="10">
        <f t="shared" si="0"/>
        <v>14719.548362406113</v>
      </c>
      <c r="N15" s="10">
        <f t="shared" si="1"/>
        <v>10000</v>
      </c>
      <c r="O15" s="10">
        <f t="shared" si="5"/>
        <v>321484.6363141422</v>
      </c>
      <c r="P15" s="9">
        <f t="shared" si="2"/>
        <v>1</v>
      </c>
      <c r="Q15" s="11">
        <f>IF(K15="","",IF(N15=0,$D$9*$I$10*P15-$I$9*P15,$D$9*$I$10*P15))</f>
        <v>45000</v>
      </c>
    </row>
    <row r="16" spans="2:17" ht="15.75" thickBot="1" x14ac:dyDescent="0.25">
      <c r="B16" s="3" t="s">
        <v>23</v>
      </c>
      <c r="C16" s="15">
        <v>0.9</v>
      </c>
      <c r="D16" s="16">
        <v>8.4000000000000005E-2</v>
      </c>
      <c r="F16" s="29" t="s">
        <v>24</v>
      </c>
      <c r="G16" s="30"/>
      <c r="H16" s="30"/>
      <c r="I16" s="5">
        <f>I15*I8/12</f>
        <v>4147.0097951717989</v>
      </c>
      <c r="K16" s="9">
        <f t="shared" si="3"/>
        <v>44</v>
      </c>
      <c r="L16" s="10">
        <f t="shared" si="4"/>
        <v>321484.6363141422</v>
      </c>
      <c r="M16" s="10">
        <f t="shared" si="0"/>
        <v>15945.637961181455</v>
      </c>
      <c r="N16" s="10">
        <f t="shared" si="1"/>
        <v>10000</v>
      </c>
      <c r="O16" s="10">
        <f t="shared" si="5"/>
        <v>347430.27427532367</v>
      </c>
      <c r="P16" s="9">
        <f t="shared" si="2"/>
        <v>1</v>
      </c>
      <c r="Q16" s="11">
        <f t="shared" si="6"/>
        <v>45000</v>
      </c>
    </row>
    <row r="17" spans="2:17" ht="15.75" thickBot="1" x14ac:dyDescent="0.25">
      <c r="B17" s="3" t="s">
        <v>7</v>
      </c>
      <c r="C17" s="15">
        <v>0.05</v>
      </c>
      <c r="D17" s="16">
        <v>0.05</v>
      </c>
      <c r="F17" s="29" t="s">
        <v>25</v>
      </c>
      <c r="G17" s="30"/>
      <c r="H17" s="30"/>
      <c r="I17" s="6">
        <f>I16+I9/12</f>
        <v>4147.0097951717989</v>
      </c>
      <c r="K17" s="9">
        <f t="shared" si="3"/>
        <v>45</v>
      </c>
      <c r="L17" s="10">
        <f t="shared" si="4"/>
        <v>347430.27427532367</v>
      </c>
      <c r="M17" s="10">
        <f t="shared" si="0"/>
        <v>17232.541604056056</v>
      </c>
      <c r="N17" s="10">
        <f t="shared" si="1"/>
        <v>10000</v>
      </c>
      <c r="O17" s="10">
        <f t="shared" si="5"/>
        <v>374662.81587937975</v>
      </c>
      <c r="P17" s="9">
        <f t="shared" si="2"/>
        <v>1</v>
      </c>
      <c r="Q17" s="11">
        <f t="shared" si="6"/>
        <v>45000</v>
      </c>
    </row>
    <row r="18" spans="2:17" ht="15.75" thickBot="1" x14ac:dyDescent="0.25">
      <c r="B18" s="3" t="s">
        <v>26</v>
      </c>
      <c r="C18" s="15">
        <v>0</v>
      </c>
      <c r="D18" s="16">
        <v>0</v>
      </c>
      <c r="F18" s="29" t="s">
        <v>27</v>
      </c>
      <c r="G18" s="30"/>
      <c r="H18" s="30"/>
      <c r="I18" s="6">
        <f>_xlfn.XLOOKUP(I7,K:K,Q:Q)/12</f>
        <v>3750</v>
      </c>
      <c r="K18" s="9">
        <f t="shared" si="3"/>
        <v>46</v>
      </c>
      <c r="L18" s="10">
        <f t="shared" si="4"/>
        <v>374662.81587937975</v>
      </c>
      <c r="M18" s="10">
        <f t="shared" si="0"/>
        <v>18583.275667617236</v>
      </c>
      <c r="N18" s="10">
        <f t="shared" si="1"/>
        <v>10000</v>
      </c>
      <c r="O18" s="10">
        <f t="shared" si="5"/>
        <v>403246.09154699696</v>
      </c>
      <c r="P18" s="9">
        <f t="shared" si="2"/>
        <v>1</v>
      </c>
      <c r="Q18" s="11">
        <f t="shared" si="6"/>
        <v>45000</v>
      </c>
    </row>
    <row r="19" spans="2:17" ht="15.75" thickBot="1" x14ac:dyDescent="0.25">
      <c r="B19" s="8" t="str">
        <f>IF(I14="Yes","Real return after inflation","Portfolio return")</f>
        <v>Portfolio return</v>
      </c>
      <c r="C19" s="20" cm="1">
        <f t="array" ref="C19">IF(I14=TRUE,SUMPRODUCT(C15:C18,D15:D18-D12),SUMPRODUCT(C15:C18,D15:D18))</f>
        <v>4.9600000000000005E-2</v>
      </c>
      <c r="D19" s="21"/>
      <c r="F19" s="29" t="s">
        <v>28</v>
      </c>
      <c r="G19" s="30"/>
      <c r="H19" s="30"/>
      <c r="I19" s="7">
        <f>I17-I18</f>
        <v>397.00979517179894</v>
      </c>
      <c r="K19" s="9">
        <f t="shared" si="3"/>
        <v>47</v>
      </c>
      <c r="L19" s="10">
        <f t="shared" si="4"/>
        <v>403246.09154699696</v>
      </c>
      <c r="M19" s="10">
        <f t="shared" si="0"/>
        <v>20001.006140731053</v>
      </c>
      <c r="N19" s="10">
        <f t="shared" si="1"/>
        <v>10000</v>
      </c>
      <c r="O19" s="10">
        <f t="shared" si="5"/>
        <v>433247.097687728</v>
      </c>
      <c r="P19" s="9">
        <f t="shared" si="2"/>
        <v>1</v>
      </c>
      <c r="Q19" s="11">
        <f t="shared" si="6"/>
        <v>45000</v>
      </c>
    </row>
    <row r="20" spans="2:17" ht="15" customHeight="1" x14ac:dyDescent="0.2">
      <c r="B20" s="19" t="str">
        <f>IF(SUM(C15:C18)&lt;&gt;1,"All amounts must add up to 100%","")</f>
        <v/>
      </c>
      <c r="C20" s="19"/>
      <c r="D20" s="19"/>
      <c r="K20" s="9">
        <f t="shared" si="3"/>
        <v>48</v>
      </c>
      <c r="L20" s="10">
        <f t="shared" si="4"/>
        <v>433247.097687728</v>
      </c>
      <c r="M20" s="10">
        <f t="shared" si="0"/>
        <v>21489.05604531131</v>
      </c>
      <c r="N20" s="10">
        <f t="shared" si="1"/>
        <v>10000</v>
      </c>
      <c r="O20" s="10">
        <f t="shared" si="5"/>
        <v>464736.15373303933</v>
      </c>
      <c r="P20" s="9">
        <f t="shared" si="2"/>
        <v>1</v>
      </c>
      <c r="Q20" s="11">
        <f t="shared" si="6"/>
        <v>45000</v>
      </c>
    </row>
    <row r="21" spans="2:17" x14ac:dyDescent="0.2">
      <c r="K21" s="9">
        <f t="shared" si="3"/>
        <v>49</v>
      </c>
      <c r="L21" s="10">
        <f t="shared" si="4"/>
        <v>464736.15373303933</v>
      </c>
      <c r="M21" s="10">
        <f t="shared" si="0"/>
        <v>23050.913225158754</v>
      </c>
      <c r="N21" s="10">
        <f t="shared" si="1"/>
        <v>10000</v>
      </c>
      <c r="O21" s="10">
        <f t="shared" si="5"/>
        <v>497787.06695819809</v>
      </c>
      <c r="P21" s="9">
        <f t="shared" si="2"/>
        <v>1</v>
      </c>
      <c r="Q21" s="11">
        <f t="shared" si="6"/>
        <v>45000</v>
      </c>
    </row>
    <row r="22" spans="2:17" x14ac:dyDescent="0.2">
      <c r="K22" s="9">
        <f t="shared" si="3"/>
        <v>50</v>
      </c>
      <c r="L22" s="10">
        <f t="shared" si="4"/>
        <v>497787.06695819809</v>
      </c>
      <c r="M22" s="10">
        <f t="shared" si="0"/>
        <v>24690.238521126626</v>
      </c>
      <c r="N22" s="10">
        <f t="shared" si="1"/>
        <v>10000</v>
      </c>
      <c r="O22" s="10">
        <f t="shared" si="5"/>
        <v>532477.30547932466</v>
      </c>
      <c r="P22" s="9">
        <f t="shared" si="2"/>
        <v>1</v>
      </c>
      <c r="Q22" s="11">
        <f t="shared" si="6"/>
        <v>45000</v>
      </c>
    </row>
    <row r="23" spans="2:17" x14ac:dyDescent="0.2">
      <c r="K23" s="9">
        <f t="shared" si="3"/>
        <v>51</v>
      </c>
      <c r="L23" s="10">
        <f t="shared" si="4"/>
        <v>532477.30547932466</v>
      </c>
      <c r="M23" s="10">
        <f t="shared" si="0"/>
        <v>26410.874351774506</v>
      </c>
      <c r="N23" s="10">
        <f t="shared" si="1"/>
        <v>10000</v>
      </c>
      <c r="O23" s="10">
        <f t="shared" si="5"/>
        <v>568888.17983109911</v>
      </c>
      <c r="P23" s="9">
        <f t="shared" si="2"/>
        <v>1</v>
      </c>
      <c r="Q23" s="11">
        <f t="shared" si="6"/>
        <v>45000</v>
      </c>
    </row>
    <row r="24" spans="2:17" x14ac:dyDescent="0.2">
      <c r="K24" s="9">
        <f t="shared" si="3"/>
        <v>52</v>
      </c>
      <c r="L24" s="10">
        <f t="shared" si="4"/>
        <v>568888.17983109911</v>
      </c>
      <c r="M24" s="10">
        <f t="shared" si="0"/>
        <v>28216.853719622519</v>
      </c>
      <c r="N24" s="10">
        <f t="shared" si="1"/>
        <v>10000</v>
      </c>
      <c r="O24" s="10">
        <f t="shared" si="5"/>
        <v>607105.03355072159</v>
      </c>
      <c r="P24" s="9">
        <f t="shared" si="2"/>
        <v>1</v>
      </c>
      <c r="Q24" s="11">
        <f t="shared" si="6"/>
        <v>45000</v>
      </c>
    </row>
    <row r="25" spans="2:17" x14ac:dyDescent="0.2">
      <c r="K25" s="9">
        <f t="shared" si="3"/>
        <v>53</v>
      </c>
      <c r="L25" s="10">
        <f t="shared" si="4"/>
        <v>607105.03355072159</v>
      </c>
      <c r="M25" s="10">
        <f t="shared" si="0"/>
        <v>30112.409664115796</v>
      </c>
      <c r="N25" s="10">
        <f t="shared" si="1"/>
        <v>10000</v>
      </c>
      <c r="O25" s="10">
        <f t="shared" si="5"/>
        <v>647217.44321483735</v>
      </c>
      <c r="P25" s="9">
        <f t="shared" si="2"/>
        <v>1</v>
      </c>
      <c r="Q25" s="11">
        <f t="shared" si="6"/>
        <v>45000</v>
      </c>
    </row>
    <row r="26" spans="2:17" x14ac:dyDescent="0.2">
      <c r="K26" s="9">
        <f t="shared" si="3"/>
        <v>54</v>
      </c>
      <c r="L26" s="10">
        <f t="shared" si="4"/>
        <v>647217.44321483735</v>
      </c>
      <c r="M26" s="10">
        <f t="shared" si="0"/>
        <v>32101.985183455934</v>
      </c>
      <c r="N26" s="10">
        <f t="shared" si="1"/>
        <v>10000</v>
      </c>
      <c r="O26" s="10">
        <f t="shared" si="5"/>
        <v>689319.42839829333</v>
      </c>
      <c r="P26" s="9">
        <f t="shared" si="2"/>
        <v>1</v>
      </c>
      <c r="Q26" s="11">
        <f t="shared" si="6"/>
        <v>45000</v>
      </c>
    </row>
    <row r="27" spans="2:17" x14ac:dyDescent="0.2">
      <c r="K27" s="9">
        <f t="shared" si="3"/>
        <v>55</v>
      </c>
      <c r="L27" s="10">
        <f t="shared" si="4"/>
        <v>689319.42839829333</v>
      </c>
      <c r="M27" s="10">
        <f t="shared" si="0"/>
        <v>34190.243648555355</v>
      </c>
      <c r="N27" s="10">
        <f t="shared" si="1"/>
        <v>10000</v>
      </c>
      <c r="O27" s="10">
        <f t="shared" si="5"/>
        <v>733509.67204684869</v>
      </c>
      <c r="P27" s="9">
        <f t="shared" si="2"/>
        <v>1</v>
      </c>
      <c r="Q27" s="11">
        <f t="shared" si="6"/>
        <v>45000</v>
      </c>
    </row>
    <row r="28" spans="2:17" x14ac:dyDescent="0.2">
      <c r="K28" s="9">
        <f t="shared" si="3"/>
        <v>56</v>
      </c>
      <c r="L28" s="10">
        <f t="shared" si="4"/>
        <v>733509.67204684869</v>
      </c>
      <c r="M28" s="10">
        <f t="shared" si="0"/>
        <v>36382.0797335237</v>
      </c>
      <c r="N28" s="10">
        <f t="shared" si="1"/>
        <v>10000</v>
      </c>
      <c r="O28" s="10">
        <f t="shared" si="5"/>
        <v>779891.75178037235</v>
      </c>
      <c r="P28" s="9">
        <f t="shared" si="2"/>
        <v>1</v>
      </c>
      <c r="Q28" s="11">
        <f t="shared" si="6"/>
        <v>45000</v>
      </c>
    </row>
    <row r="29" spans="2:17" x14ac:dyDescent="0.2">
      <c r="K29" s="9">
        <f t="shared" si="3"/>
        <v>57</v>
      </c>
      <c r="L29" s="10">
        <f t="shared" si="4"/>
        <v>779891.75178037235</v>
      </c>
      <c r="M29" s="10">
        <f t="shared" si="0"/>
        <v>38682.63088830647</v>
      </c>
      <c r="N29" s="10">
        <f t="shared" si="1"/>
        <v>10000</v>
      </c>
      <c r="O29" s="10">
        <f t="shared" si="5"/>
        <v>828574.38266867877</v>
      </c>
      <c r="P29" s="9">
        <f t="shared" si="2"/>
        <v>1</v>
      </c>
      <c r="Q29" s="11">
        <f t="shared" si="6"/>
        <v>45000</v>
      </c>
    </row>
    <row r="30" spans="2:17" x14ac:dyDescent="0.2">
      <c r="K30" s="9">
        <f t="shared" si="3"/>
        <v>58</v>
      </c>
      <c r="L30" s="10">
        <f t="shared" si="4"/>
        <v>828574.38266867877</v>
      </c>
      <c r="M30" s="10">
        <f t="shared" si="0"/>
        <v>41097.28938036647</v>
      </c>
      <c r="N30" s="10">
        <f t="shared" si="1"/>
        <v>10000</v>
      </c>
      <c r="O30" s="10">
        <f t="shared" si="5"/>
        <v>879671.67204904521</v>
      </c>
      <c r="P30" s="9">
        <f t="shared" si="2"/>
        <v>1</v>
      </c>
      <c r="Q30" s="11">
        <f t="shared" si="6"/>
        <v>45000</v>
      </c>
    </row>
    <row r="31" spans="2:17" x14ac:dyDescent="0.2">
      <c r="K31" s="9">
        <f t="shared" si="3"/>
        <v>59</v>
      </c>
      <c r="L31" s="10">
        <f t="shared" si="4"/>
        <v>879671.67204904521</v>
      </c>
      <c r="M31" s="10">
        <f t="shared" si="0"/>
        <v>43631.714933632647</v>
      </c>
      <c r="N31" s="10">
        <f t="shared" si="1"/>
        <v>10000</v>
      </c>
      <c r="O31" s="10">
        <f t="shared" si="5"/>
        <v>933303.38698267785</v>
      </c>
      <c r="P31" s="9">
        <f t="shared" si="2"/>
        <v>1</v>
      </c>
      <c r="Q31" s="11">
        <f t="shared" si="6"/>
        <v>45000</v>
      </c>
    </row>
    <row r="32" spans="2:17" x14ac:dyDescent="0.2">
      <c r="K32" s="9">
        <f t="shared" si="3"/>
        <v>60</v>
      </c>
      <c r="L32" s="10">
        <f t="shared" si="4"/>
        <v>933303.38698267785</v>
      </c>
      <c r="M32" s="10">
        <f t="shared" si="0"/>
        <v>46291.847994340824</v>
      </c>
      <c r="N32" s="10">
        <f t="shared" si="1"/>
        <v>10000</v>
      </c>
      <c r="O32" s="10">
        <f t="shared" si="5"/>
        <v>989595.23497701867</v>
      </c>
      <c r="P32" s="9">
        <f t="shared" si="2"/>
        <v>1</v>
      </c>
      <c r="Q32" s="11">
        <f t="shared" si="6"/>
        <v>45000</v>
      </c>
    </row>
    <row r="33" spans="11:17" x14ac:dyDescent="0.2">
      <c r="K33" s="9">
        <f t="shared" si="3"/>
        <v>61</v>
      </c>
      <c r="L33" s="10">
        <f t="shared" si="4"/>
        <v>989595.23497701867</v>
      </c>
      <c r="M33" s="10">
        <f t="shared" si="0"/>
        <v>49083.923654860133</v>
      </c>
      <c r="N33" s="10">
        <f t="shared" si="1"/>
        <v>10000</v>
      </c>
      <c r="O33" s="10">
        <f t="shared" si="5"/>
        <v>1048679.1586318789</v>
      </c>
      <c r="P33" s="9">
        <f t="shared" si="2"/>
        <v>1</v>
      </c>
      <c r="Q33" s="11">
        <f t="shared" si="6"/>
        <v>45000</v>
      </c>
    </row>
    <row r="34" spans="11:17" x14ac:dyDescent="0.2">
      <c r="K34" s="9">
        <f t="shared" si="3"/>
        <v>62</v>
      </c>
      <c r="L34" s="10">
        <f t="shared" si="4"/>
        <v>1048679.1586318789</v>
      </c>
      <c r="M34" s="10">
        <f t="shared" si="0"/>
        <v>52014.486268141198</v>
      </c>
      <c r="N34" s="10">
        <f t="shared" si="1"/>
        <v>10000</v>
      </c>
      <c r="O34" s="10">
        <f t="shared" si="5"/>
        <v>1110693.6449000202</v>
      </c>
      <c r="P34" s="9">
        <f t="shared" si="2"/>
        <v>1</v>
      </c>
      <c r="Q34" s="11">
        <f t="shared" si="6"/>
        <v>45000</v>
      </c>
    </row>
    <row r="35" spans="11:17" x14ac:dyDescent="0.2">
      <c r="K35" s="9">
        <f t="shared" si="3"/>
        <v>63</v>
      </c>
      <c r="L35" s="10">
        <f t="shared" si="4"/>
        <v>1110693.6449000202</v>
      </c>
      <c r="M35" s="10">
        <f t="shared" si="0"/>
        <v>55090.404787041007</v>
      </c>
      <c r="N35" s="10">
        <f t="shared" ref="N35:N66" si="7">IF(K35="","",IF(K35&gt;=$I$7,0,IF($I$14=TRUE,N34*(1+$D$11-$D$12),N34*(1+$D$11))))</f>
        <v>10000</v>
      </c>
      <c r="O35" s="10">
        <f t="shared" si="5"/>
        <v>1175784.0496870612</v>
      </c>
      <c r="P35" s="9">
        <f t="shared" ref="P35:P66" si="8">IF(K35="","",IF($I$14=TRUE,1,(1+$D$12)^(ROW(K34)-1)))</f>
        <v>1</v>
      </c>
      <c r="Q35" s="11">
        <f t="shared" si="6"/>
        <v>45000</v>
      </c>
    </row>
    <row r="36" spans="11:17" x14ac:dyDescent="0.2">
      <c r="K36" s="9">
        <f t="shared" si="3"/>
        <v>64</v>
      </c>
      <c r="L36" s="10">
        <f t="shared" si="4"/>
        <v>1175784.0496870612</v>
      </c>
      <c r="M36" s="10">
        <f t="shared" si="0"/>
        <v>58318.888864478242</v>
      </c>
      <c r="N36" s="10">
        <f t="shared" si="7"/>
        <v>10000</v>
      </c>
      <c r="O36" s="10">
        <f t="shared" si="5"/>
        <v>1244102.9385515396</v>
      </c>
      <c r="P36" s="9">
        <f t="shared" si="8"/>
        <v>1</v>
      </c>
      <c r="Q36" s="11">
        <f t="shared" si="6"/>
        <v>45000</v>
      </c>
    </row>
    <row r="37" spans="11:17" x14ac:dyDescent="0.2">
      <c r="K37" s="9">
        <f t="shared" si="3"/>
        <v>65</v>
      </c>
      <c r="L37" s="10">
        <f t="shared" si="4"/>
        <v>1244102.9385515396</v>
      </c>
      <c r="M37" s="10">
        <f t="shared" si="0"/>
        <v>61707.505752156365</v>
      </c>
      <c r="N37" s="10">
        <f t="shared" si="7"/>
        <v>0</v>
      </c>
      <c r="O37" s="10">
        <f t="shared" si="5"/>
        <v>1260810.4443036958</v>
      </c>
      <c r="P37" s="9">
        <f t="shared" si="8"/>
        <v>1</v>
      </c>
      <c r="Q37" s="11">
        <f t="shared" si="6"/>
        <v>45000</v>
      </c>
    </row>
    <row r="38" spans="11:17" x14ac:dyDescent="0.2">
      <c r="K38" s="9">
        <f t="shared" si="3"/>
        <v>66</v>
      </c>
      <c r="L38" s="10">
        <f t="shared" si="4"/>
        <v>1260810.4443036958</v>
      </c>
      <c r="M38" s="10">
        <f t="shared" si="0"/>
        <v>62536.19803746332</v>
      </c>
      <c r="N38" s="10">
        <f t="shared" si="7"/>
        <v>0</v>
      </c>
      <c r="O38" s="10">
        <f t="shared" si="5"/>
        <v>1278346.6423411591</v>
      </c>
      <c r="P38" s="9">
        <f t="shared" si="8"/>
        <v>1</v>
      </c>
      <c r="Q38" s="11">
        <f t="shared" si="6"/>
        <v>45000</v>
      </c>
    </row>
    <row r="39" spans="11:17" x14ac:dyDescent="0.2">
      <c r="K39" s="9">
        <f t="shared" si="3"/>
        <v>67</v>
      </c>
      <c r="L39" s="10">
        <f t="shared" si="4"/>
        <v>1278346.6423411591</v>
      </c>
      <c r="M39" s="10">
        <f t="shared" si="0"/>
        <v>63405.993460121499</v>
      </c>
      <c r="N39" s="10">
        <f t="shared" si="7"/>
        <v>0</v>
      </c>
      <c r="O39" s="10">
        <f t="shared" si="5"/>
        <v>1296752.6358012806</v>
      </c>
      <c r="P39" s="9">
        <f t="shared" si="8"/>
        <v>1</v>
      </c>
      <c r="Q39" s="11">
        <f t="shared" si="6"/>
        <v>45000</v>
      </c>
    </row>
    <row r="40" spans="11:17" x14ac:dyDescent="0.2">
      <c r="K40" s="9">
        <f t="shared" si="3"/>
        <v>68</v>
      </c>
      <c r="L40" s="10">
        <f t="shared" si="4"/>
        <v>1296752.6358012806</v>
      </c>
      <c r="M40" s="10">
        <f t="shared" si="0"/>
        <v>64318.930735743525</v>
      </c>
      <c r="N40" s="10">
        <f t="shared" si="7"/>
        <v>0</v>
      </c>
      <c r="O40" s="10">
        <f t="shared" si="5"/>
        <v>1316071.5665370242</v>
      </c>
      <c r="P40" s="9">
        <f t="shared" si="8"/>
        <v>1</v>
      </c>
      <c r="Q40" s="11">
        <f t="shared" si="6"/>
        <v>45000</v>
      </c>
    </row>
    <row r="41" spans="11:17" x14ac:dyDescent="0.2">
      <c r="K41" s="9">
        <f t="shared" si="3"/>
        <v>69</v>
      </c>
      <c r="L41" s="10">
        <f t="shared" si="4"/>
        <v>1316071.5665370242</v>
      </c>
      <c r="M41" s="10">
        <f t="shared" si="0"/>
        <v>65277.149700236405</v>
      </c>
      <c r="N41" s="10">
        <f t="shared" si="7"/>
        <v>0</v>
      </c>
      <c r="O41" s="10">
        <f t="shared" si="5"/>
        <v>1336348.7162372607</v>
      </c>
      <c r="P41" s="9">
        <f t="shared" si="8"/>
        <v>1</v>
      </c>
      <c r="Q41" s="11">
        <f t="shared" si="6"/>
        <v>45000</v>
      </c>
    </row>
    <row r="42" spans="11:17" x14ac:dyDescent="0.2">
      <c r="K42" s="9">
        <f t="shared" si="3"/>
        <v>70</v>
      </c>
      <c r="L42" s="10">
        <f t="shared" si="4"/>
        <v>1336348.7162372607</v>
      </c>
      <c r="M42" s="10">
        <f t="shared" si="0"/>
        <v>66282.896325368143</v>
      </c>
      <c r="N42" s="10">
        <f t="shared" si="7"/>
        <v>0</v>
      </c>
      <c r="O42" s="10">
        <f t="shared" si="5"/>
        <v>1357631.6125626289</v>
      </c>
      <c r="P42" s="9">
        <f t="shared" si="8"/>
        <v>1</v>
      </c>
      <c r="Q42" s="11">
        <f t="shared" si="6"/>
        <v>45000</v>
      </c>
    </row>
    <row r="43" spans="11:17" x14ac:dyDescent="0.2">
      <c r="K43" s="9">
        <f t="shared" si="3"/>
        <v>71</v>
      </c>
      <c r="L43" s="10">
        <f t="shared" si="4"/>
        <v>1357631.6125626289</v>
      </c>
      <c r="M43" s="10">
        <f t="shared" si="0"/>
        <v>67338.527983106396</v>
      </c>
      <c r="N43" s="10">
        <f t="shared" si="7"/>
        <v>0</v>
      </c>
      <c r="O43" s="10">
        <f t="shared" si="5"/>
        <v>1379970.1405457354</v>
      </c>
      <c r="P43" s="9">
        <f t="shared" si="8"/>
        <v>1</v>
      </c>
      <c r="Q43" s="11">
        <f t="shared" si="6"/>
        <v>45000</v>
      </c>
    </row>
    <row r="44" spans="11:17" x14ac:dyDescent="0.2">
      <c r="K44" s="9">
        <f t="shared" si="3"/>
        <v>72</v>
      </c>
      <c r="L44" s="10">
        <f t="shared" si="4"/>
        <v>1379970.1405457354</v>
      </c>
      <c r="M44" s="10">
        <f t="shared" si="0"/>
        <v>68446.518971068479</v>
      </c>
      <c r="N44" s="10">
        <f t="shared" si="7"/>
        <v>0</v>
      </c>
      <c r="O44" s="10">
        <f t="shared" si="5"/>
        <v>1403416.6595168039</v>
      </c>
      <c r="P44" s="9">
        <f t="shared" si="8"/>
        <v>1</v>
      </c>
      <c r="Q44" s="11">
        <f t="shared" si="6"/>
        <v>45000</v>
      </c>
    </row>
    <row r="45" spans="11:17" x14ac:dyDescent="0.2">
      <c r="K45" s="9">
        <f t="shared" si="3"/>
        <v>73</v>
      </c>
      <c r="L45" s="10">
        <f t="shared" si="4"/>
        <v>1403416.6595168039</v>
      </c>
      <c r="M45" s="10">
        <f t="shared" si="0"/>
        <v>69609.466312033488</v>
      </c>
      <c r="N45" s="10">
        <f t="shared" si="7"/>
        <v>0</v>
      </c>
      <c r="O45" s="10">
        <f t="shared" si="5"/>
        <v>1428026.1258288375</v>
      </c>
      <c r="P45" s="9">
        <f t="shared" si="8"/>
        <v>1</v>
      </c>
      <c r="Q45" s="11">
        <f t="shared" si="6"/>
        <v>45000</v>
      </c>
    </row>
    <row r="46" spans="11:17" x14ac:dyDescent="0.2">
      <c r="K46" s="9">
        <f t="shared" si="3"/>
        <v>74</v>
      </c>
      <c r="L46" s="10">
        <f t="shared" si="4"/>
        <v>1428026.1258288375</v>
      </c>
      <c r="M46" s="10">
        <f t="shared" si="0"/>
        <v>70830.095841110349</v>
      </c>
      <c r="N46" s="10">
        <f t="shared" si="7"/>
        <v>0</v>
      </c>
      <c r="O46" s="10">
        <f t="shared" si="5"/>
        <v>1453856.221669948</v>
      </c>
      <c r="P46" s="9">
        <f t="shared" si="8"/>
        <v>1</v>
      </c>
      <c r="Q46" s="11">
        <f t="shared" si="6"/>
        <v>45000</v>
      </c>
    </row>
    <row r="47" spans="11:17" x14ac:dyDescent="0.2">
      <c r="K47" s="9">
        <f t="shared" si="3"/>
        <v>75</v>
      </c>
      <c r="L47" s="10">
        <f t="shared" si="4"/>
        <v>1453856.221669948</v>
      </c>
      <c r="M47" s="10">
        <f t="shared" si="0"/>
        <v>72111.268594829424</v>
      </c>
      <c r="N47" s="10">
        <f t="shared" si="7"/>
        <v>0</v>
      </c>
      <c r="O47" s="10">
        <f t="shared" si="5"/>
        <v>1480967.4902647773</v>
      </c>
      <c r="P47" s="9">
        <f t="shared" si="8"/>
        <v>1</v>
      </c>
      <c r="Q47" s="11">
        <f t="shared" si="6"/>
        <v>45000</v>
      </c>
    </row>
    <row r="48" spans="11:17" x14ac:dyDescent="0.2">
      <c r="K48" s="9">
        <f t="shared" si="3"/>
        <v>76</v>
      </c>
      <c r="L48" s="10">
        <f t="shared" si="4"/>
        <v>1480967.4902647773</v>
      </c>
      <c r="M48" s="10">
        <f t="shared" si="0"/>
        <v>73455.987517132962</v>
      </c>
      <c r="N48" s="10">
        <f t="shared" si="7"/>
        <v>0</v>
      </c>
      <c r="O48" s="10">
        <f t="shared" si="5"/>
        <v>1509423.4777819102</v>
      </c>
      <c r="P48" s="9">
        <f t="shared" si="8"/>
        <v>1</v>
      </c>
      <c r="Q48" s="11">
        <f t="shared" si="6"/>
        <v>45000</v>
      </c>
    </row>
    <row r="49" spans="11:17" x14ac:dyDescent="0.2">
      <c r="K49" s="9">
        <f t="shared" si="3"/>
        <v>77</v>
      </c>
      <c r="L49" s="10">
        <f t="shared" si="4"/>
        <v>1509423.4777819102</v>
      </c>
      <c r="M49" s="10">
        <f t="shared" si="0"/>
        <v>74867.404497982759</v>
      </c>
      <c r="N49" s="10">
        <f t="shared" si="7"/>
        <v>0</v>
      </c>
      <c r="O49" s="10">
        <f t="shared" si="5"/>
        <v>1539290.8822798929</v>
      </c>
      <c r="P49" s="9">
        <f t="shared" si="8"/>
        <v>1</v>
      </c>
      <c r="Q49" s="11">
        <f t="shared" si="6"/>
        <v>45000</v>
      </c>
    </row>
    <row r="50" spans="11:17" x14ac:dyDescent="0.2">
      <c r="K50" s="9">
        <f t="shared" si="3"/>
        <v>78</v>
      </c>
      <c r="L50" s="10">
        <f t="shared" si="4"/>
        <v>1539290.8822798929</v>
      </c>
      <c r="M50" s="10">
        <f t="shared" si="0"/>
        <v>76348.827761082692</v>
      </c>
      <c r="N50" s="10">
        <f t="shared" si="7"/>
        <v>0</v>
      </c>
      <c r="O50" s="10">
        <f t="shared" si="5"/>
        <v>1570639.7100409756</v>
      </c>
      <c r="P50" s="9">
        <f t="shared" si="8"/>
        <v>1</v>
      </c>
      <c r="Q50" s="11">
        <f t="shared" si="6"/>
        <v>45000</v>
      </c>
    </row>
    <row r="51" spans="11:17" x14ac:dyDescent="0.2">
      <c r="K51" s="9">
        <f t="shared" si="3"/>
        <v>79</v>
      </c>
      <c r="L51" s="10">
        <f t="shared" si="4"/>
        <v>1570639.7100409756</v>
      </c>
      <c r="M51" s="10">
        <f t="shared" si="0"/>
        <v>77903.729618032405</v>
      </c>
      <c r="N51" s="10">
        <f t="shared" si="7"/>
        <v>0</v>
      </c>
      <c r="O51" s="10">
        <f t="shared" si="5"/>
        <v>1603543.4396590081</v>
      </c>
      <c r="P51" s="9">
        <f t="shared" si="8"/>
        <v>1</v>
      </c>
      <c r="Q51" s="11">
        <f t="shared" si="6"/>
        <v>45000</v>
      </c>
    </row>
    <row r="52" spans="11:17" x14ac:dyDescent="0.2">
      <c r="K52" s="9">
        <f t="shared" si="3"/>
        <v>80</v>
      </c>
      <c r="L52" s="10">
        <f t="shared" si="4"/>
        <v>1603543.4396590081</v>
      </c>
      <c r="M52" s="10">
        <f t="shared" si="0"/>
        <v>79535.754607086812</v>
      </c>
      <c r="N52" s="10">
        <f t="shared" si="7"/>
        <v>0</v>
      </c>
      <c r="O52" s="10">
        <f t="shared" si="5"/>
        <v>1638079.1942660948</v>
      </c>
      <c r="P52" s="9">
        <f t="shared" si="8"/>
        <v>1</v>
      </c>
      <c r="Q52" s="11">
        <f t="shared" si="6"/>
        <v>45000</v>
      </c>
    </row>
    <row r="53" spans="11:17" x14ac:dyDescent="0.2">
      <c r="K53" s="9">
        <f t="shared" si="3"/>
        <v>81</v>
      </c>
      <c r="L53" s="10">
        <f t="shared" si="4"/>
        <v>1638079.1942660948</v>
      </c>
      <c r="M53" s="10">
        <f t="shared" si="0"/>
        <v>81248.728035598309</v>
      </c>
      <c r="N53" s="10">
        <f t="shared" si="7"/>
        <v>0</v>
      </c>
      <c r="O53" s="10">
        <f t="shared" si="5"/>
        <v>1674327.9223016931</v>
      </c>
      <c r="P53" s="9">
        <f t="shared" si="8"/>
        <v>1</v>
      </c>
      <c r="Q53" s="11">
        <f t="shared" si="6"/>
        <v>45000</v>
      </c>
    </row>
    <row r="54" spans="11:17" x14ac:dyDescent="0.2">
      <c r="K54" s="9">
        <f t="shared" si="3"/>
        <v>82</v>
      </c>
      <c r="L54" s="10">
        <f t="shared" si="4"/>
        <v>1674327.9223016931</v>
      </c>
      <c r="M54" s="10">
        <f t="shared" si="0"/>
        <v>83046.66494616399</v>
      </c>
      <c r="N54" s="10">
        <f t="shared" si="7"/>
        <v>0</v>
      </c>
      <c r="O54" s="10">
        <f t="shared" si="5"/>
        <v>1712374.5872478571</v>
      </c>
      <c r="P54" s="9">
        <f t="shared" si="8"/>
        <v>1</v>
      </c>
      <c r="Q54" s="11">
        <f t="shared" si="6"/>
        <v>45000</v>
      </c>
    </row>
    <row r="55" spans="11:17" x14ac:dyDescent="0.2">
      <c r="K55" s="9">
        <f t="shared" si="3"/>
        <v>83</v>
      </c>
      <c r="L55" s="10">
        <f t="shared" si="4"/>
        <v>1712374.5872478571</v>
      </c>
      <c r="M55" s="10">
        <f t="shared" si="0"/>
        <v>84933.779527493723</v>
      </c>
      <c r="N55" s="10">
        <f t="shared" si="7"/>
        <v>0</v>
      </c>
      <c r="O55" s="10">
        <f t="shared" si="5"/>
        <v>1752308.3667753509</v>
      </c>
      <c r="P55" s="9">
        <f t="shared" si="8"/>
        <v>1</v>
      </c>
      <c r="Q55" s="11">
        <f t="shared" si="6"/>
        <v>45000</v>
      </c>
    </row>
    <row r="56" spans="11:17" x14ac:dyDescent="0.2">
      <c r="K56" s="9">
        <f t="shared" si="3"/>
        <v>84</v>
      </c>
      <c r="L56" s="10">
        <f t="shared" si="4"/>
        <v>1752308.3667753509</v>
      </c>
      <c r="M56" s="10">
        <f t="shared" si="0"/>
        <v>86914.494992057414</v>
      </c>
      <c r="N56" s="10">
        <f t="shared" si="7"/>
        <v>0</v>
      </c>
      <c r="O56" s="10">
        <f t="shared" si="5"/>
        <v>1794222.8617674082</v>
      </c>
      <c r="P56" s="9">
        <f t="shared" si="8"/>
        <v>1</v>
      </c>
      <c r="Q56" s="11">
        <f t="shared" si="6"/>
        <v>45000</v>
      </c>
    </row>
    <row r="57" spans="11:17" x14ac:dyDescent="0.2">
      <c r="K57" s="9">
        <f t="shared" si="3"/>
        <v>85</v>
      </c>
      <c r="L57" s="10">
        <f t="shared" si="4"/>
        <v>1794222.8617674082</v>
      </c>
      <c r="M57" s="10">
        <f t="shared" si="0"/>
        <v>88993.453943663451</v>
      </c>
      <c r="N57" s="10">
        <f t="shared" si="7"/>
        <v>0</v>
      </c>
      <c r="O57" s="10">
        <f t="shared" si="5"/>
        <v>1838216.3157110717</v>
      </c>
      <c r="P57" s="9">
        <f t="shared" si="8"/>
        <v>1</v>
      </c>
      <c r="Q57" s="11">
        <f t="shared" si="6"/>
        <v>45000</v>
      </c>
    </row>
    <row r="58" spans="11:17" x14ac:dyDescent="0.2">
      <c r="K58" s="9">
        <f t="shared" si="3"/>
        <v>86</v>
      </c>
      <c r="L58" s="10">
        <f t="shared" si="4"/>
        <v>1838216.3157110717</v>
      </c>
      <c r="M58" s="10">
        <f t="shared" si="0"/>
        <v>91175.529259269169</v>
      </c>
      <c r="N58" s="10">
        <f t="shared" si="7"/>
        <v>0</v>
      </c>
      <c r="O58" s="10">
        <f t="shared" si="5"/>
        <v>1884391.8449703408</v>
      </c>
      <c r="P58" s="9">
        <f t="shared" si="8"/>
        <v>1</v>
      </c>
      <c r="Q58" s="11">
        <f t="shared" si="6"/>
        <v>45000</v>
      </c>
    </row>
    <row r="59" spans="11:17" x14ac:dyDescent="0.2">
      <c r="K59" s="9">
        <f t="shared" si="3"/>
        <v>87</v>
      </c>
      <c r="L59" s="10">
        <f t="shared" si="4"/>
        <v>1884391.8449703408</v>
      </c>
      <c r="M59" s="10">
        <f t="shared" si="0"/>
        <v>93465.835510528908</v>
      </c>
      <c r="N59" s="10">
        <f t="shared" si="7"/>
        <v>0</v>
      </c>
      <c r="O59" s="10">
        <f t="shared" si="5"/>
        <v>1932857.6804808697</v>
      </c>
      <c r="P59" s="9">
        <f t="shared" si="8"/>
        <v>1</v>
      </c>
      <c r="Q59" s="11">
        <f t="shared" si="6"/>
        <v>45000</v>
      </c>
    </row>
    <row r="60" spans="11:17" x14ac:dyDescent="0.2">
      <c r="K60" s="9">
        <f t="shared" si="3"/>
        <v>88</v>
      </c>
      <c r="L60" s="10">
        <f t="shared" si="4"/>
        <v>1932857.6804808697</v>
      </c>
      <c r="M60" s="10">
        <f t="shared" si="0"/>
        <v>95869.740951851141</v>
      </c>
      <c r="N60" s="10">
        <f t="shared" si="7"/>
        <v>0</v>
      </c>
      <c r="O60" s="10">
        <f t="shared" si="5"/>
        <v>1983727.421432721</v>
      </c>
      <c r="P60" s="9">
        <f t="shared" si="8"/>
        <v>1</v>
      </c>
      <c r="Q60" s="11">
        <f t="shared" si="6"/>
        <v>45000</v>
      </c>
    </row>
    <row r="61" spans="11:17" x14ac:dyDescent="0.2">
      <c r="K61" s="9">
        <f t="shared" si="3"/>
        <v>89</v>
      </c>
      <c r="L61" s="10">
        <f t="shared" si="4"/>
        <v>1983727.421432721</v>
      </c>
      <c r="M61" s="10">
        <f t="shared" si="0"/>
        <v>98392.880103062969</v>
      </c>
      <c r="N61" s="10">
        <f t="shared" si="7"/>
        <v>0</v>
      </c>
      <c r="O61" s="10">
        <f t="shared" si="5"/>
        <v>2037120.301535784</v>
      </c>
      <c r="P61" s="9">
        <f t="shared" si="8"/>
        <v>1</v>
      </c>
      <c r="Q61" s="11">
        <f t="shared" si="6"/>
        <v>45000</v>
      </c>
    </row>
    <row r="62" spans="11:17" x14ac:dyDescent="0.2">
      <c r="K62" s="9">
        <f t="shared" si="3"/>
        <v>90</v>
      </c>
      <c r="L62" s="10">
        <f t="shared" si="4"/>
        <v>2037120.301535784</v>
      </c>
      <c r="M62" s="10">
        <f t="shared" si="0"/>
        <v>101041.1669561749</v>
      </c>
      <c r="N62" s="10">
        <f t="shared" si="7"/>
        <v>0</v>
      </c>
      <c r="O62" s="10">
        <f t="shared" si="5"/>
        <v>2093161.4684919589</v>
      </c>
      <c r="P62" s="9">
        <f t="shared" si="8"/>
        <v>1</v>
      </c>
      <c r="Q62" s="11">
        <f t="shared" si="6"/>
        <v>45000</v>
      </c>
    </row>
    <row r="63" spans="11:17" x14ac:dyDescent="0.2">
      <c r="K63" s="9">
        <f t="shared" si="3"/>
        <v>91</v>
      </c>
      <c r="L63" s="10">
        <f t="shared" si="4"/>
        <v>2093161.4684919589</v>
      </c>
      <c r="M63" s="10">
        <f t="shared" si="0"/>
        <v>103820.80883720117</v>
      </c>
      <c r="N63" s="10">
        <f t="shared" si="7"/>
        <v>0</v>
      </c>
      <c r="O63" s="10">
        <f t="shared" si="5"/>
        <v>2151982.2773291599</v>
      </c>
      <c r="P63" s="9">
        <f t="shared" si="8"/>
        <v>1</v>
      </c>
      <c r="Q63" s="11">
        <f t="shared" si="6"/>
        <v>45000</v>
      </c>
    </row>
    <row r="64" spans="11:17" x14ac:dyDescent="0.2">
      <c r="K64" s="9">
        <f t="shared" si="3"/>
        <v>92</v>
      </c>
      <c r="L64" s="10">
        <f t="shared" si="4"/>
        <v>2151982.2773291599</v>
      </c>
      <c r="M64" s="10">
        <f t="shared" si="0"/>
        <v>106738.32095552635</v>
      </c>
      <c r="N64" s="10">
        <f t="shared" si="7"/>
        <v>0</v>
      </c>
      <c r="O64" s="10">
        <f t="shared" si="5"/>
        <v>2213720.5982846864</v>
      </c>
      <c r="P64" s="9">
        <f t="shared" si="8"/>
        <v>1</v>
      </c>
      <c r="Q64" s="11">
        <f t="shared" si="6"/>
        <v>45000</v>
      </c>
    </row>
    <row r="65" spans="11:17" x14ac:dyDescent="0.2">
      <c r="K65" s="9">
        <f t="shared" si="3"/>
        <v>93</v>
      </c>
      <c r="L65" s="10">
        <f t="shared" si="4"/>
        <v>2213720.5982846864</v>
      </c>
      <c r="M65" s="10">
        <f t="shared" si="0"/>
        <v>109800.54167492046</v>
      </c>
      <c r="N65" s="10">
        <f t="shared" si="7"/>
        <v>0</v>
      </c>
      <c r="O65" s="10">
        <f t="shared" si="5"/>
        <v>2278521.1399596068</v>
      </c>
      <c r="P65" s="9">
        <f t="shared" si="8"/>
        <v>1</v>
      </c>
      <c r="Q65" s="11">
        <f t="shared" si="6"/>
        <v>45000</v>
      </c>
    </row>
    <row r="66" spans="11:17" x14ac:dyDescent="0.2">
      <c r="K66" s="9">
        <f t="shared" si="3"/>
        <v>94</v>
      </c>
      <c r="L66" s="10">
        <f t="shared" si="4"/>
        <v>2278521.1399596068</v>
      </c>
      <c r="M66" s="10">
        <f t="shared" si="0"/>
        <v>113014.6485419965</v>
      </c>
      <c r="N66" s="10">
        <f t="shared" si="7"/>
        <v>0</v>
      </c>
      <c r="O66" s="10">
        <f t="shared" si="5"/>
        <v>2346535.7885016035</v>
      </c>
      <c r="P66" s="9">
        <f t="shared" si="8"/>
        <v>1</v>
      </c>
      <c r="Q66" s="11">
        <f t="shared" si="6"/>
        <v>45000</v>
      </c>
    </row>
    <row r="67" spans="11:17" x14ac:dyDescent="0.2">
      <c r="K67" s="9">
        <f t="shared" si="3"/>
        <v>95</v>
      </c>
      <c r="L67" s="10">
        <f t="shared" si="4"/>
        <v>2346535.7885016035</v>
      </c>
      <c r="M67" s="10">
        <f t="shared" ref="M67:M122" si="9">IF(K67="","",L67*$C$19)</f>
        <v>116388.17510967955</v>
      </c>
      <c r="N67" s="10">
        <f t="shared" ref="N67:N98" si="10">IF(K67="","",IF(K67&gt;=$I$7,0,IF($I$14=TRUE,N66*(1+$D$11-$D$12),N66*(1+$D$11))))</f>
        <v>0</v>
      </c>
      <c r="O67" s="10">
        <f t="shared" si="5"/>
        <v>2417923.9636112829</v>
      </c>
      <c r="P67" s="9">
        <f t="shared" ref="P67:P98" si="11">IF(K67="","",IF($I$14=TRUE,1,(1+$D$12)^(ROW(K66)-1)))</f>
        <v>1</v>
      </c>
      <c r="Q67" s="11">
        <f t="shared" si="6"/>
        <v>45000</v>
      </c>
    </row>
    <row r="68" spans="11:17" x14ac:dyDescent="0.2">
      <c r="K68" s="9">
        <f t="shared" ref="K68:K122" si="12">IFERROR(IF(O67&lt;0,"",IF(K67&gt;100,"",K67+1)),"")</f>
        <v>96</v>
      </c>
      <c r="L68" s="10">
        <f t="shared" ref="L68:L122" si="13">IF(K68="","",O67)</f>
        <v>2417923.9636112829</v>
      </c>
      <c r="M68" s="10">
        <f t="shared" si="9"/>
        <v>119929.02859511964</v>
      </c>
      <c r="N68" s="10">
        <f t="shared" si="10"/>
        <v>0</v>
      </c>
      <c r="O68" s="10">
        <f t="shared" ref="O68:O122" si="14">IF(K68="","",IF(K68&lt;$I$7,SUM(L68:N68),SUM(L68:N68)-Q68))</f>
        <v>2492852.9922064026</v>
      </c>
      <c r="P68" s="9">
        <f t="shared" si="11"/>
        <v>1</v>
      </c>
      <c r="Q68" s="11">
        <f t="shared" si="6"/>
        <v>45000</v>
      </c>
    </row>
    <row r="69" spans="11:17" x14ac:dyDescent="0.2">
      <c r="K69" s="9">
        <f t="shared" si="12"/>
        <v>97</v>
      </c>
      <c r="L69" s="10">
        <f t="shared" si="13"/>
        <v>2492852.9922064026</v>
      </c>
      <c r="M69" s="10">
        <f t="shared" si="9"/>
        <v>123645.50841343758</v>
      </c>
      <c r="N69" s="10">
        <f t="shared" si="10"/>
        <v>0</v>
      </c>
      <c r="O69" s="10">
        <f t="shared" si="14"/>
        <v>2571498.5006198403</v>
      </c>
      <c r="P69" s="9">
        <f t="shared" si="11"/>
        <v>1</v>
      </c>
      <c r="Q69" s="11">
        <f t="shared" ref="Q69:Q87" si="15">IF(K69="","",IF(N69=0,$D$9*$I$10*P69-$I$9*P69,$D$9*$I$10*P69))</f>
        <v>45000</v>
      </c>
    </row>
    <row r="70" spans="11:17" x14ac:dyDescent="0.2">
      <c r="K70" s="9">
        <f t="shared" si="12"/>
        <v>98</v>
      </c>
      <c r="L70" s="10">
        <f t="shared" si="13"/>
        <v>2571498.5006198403</v>
      </c>
      <c r="M70" s="10">
        <f t="shared" si="9"/>
        <v>127546.32563074409</v>
      </c>
      <c r="N70" s="10">
        <f t="shared" si="10"/>
        <v>0</v>
      </c>
      <c r="O70" s="10">
        <f t="shared" si="14"/>
        <v>2654044.8262505843</v>
      </c>
      <c r="P70" s="9">
        <f t="shared" si="11"/>
        <v>1</v>
      </c>
      <c r="Q70" s="11">
        <f t="shared" si="15"/>
        <v>45000</v>
      </c>
    </row>
    <row r="71" spans="11:17" x14ac:dyDescent="0.2">
      <c r="K71" s="9">
        <f t="shared" si="12"/>
        <v>99</v>
      </c>
      <c r="L71" s="10">
        <f t="shared" si="13"/>
        <v>2654044.8262505843</v>
      </c>
      <c r="M71" s="10">
        <f t="shared" si="9"/>
        <v>131640.62338202901</v>
      </c>
      <c r="N71" s="10">
        <f t="shared" si="10"/>
        <v>0</v>
      </c>
      <c r="O71" s="10">
        <f t="shared" si="14"/>
        <v>2740685.4496326135</v>
      </c>
      <c r="P71" s="9">
        <f t="shared" si="11"/>
        <v>1</v>
      </c>
      <c r="Q71" s="11">
        <f t="shared" si="15"/>
        <v>45000</v>
      </c>
    </row>
    <row r="72" spans="11:17" x14ac:dyDescent="0.2">
      <c r="K72" s="9">
        <f t="shared" si="12"/>
        <v>100</v>
      </c>
      <c r="L72" s="10">
        <f t="shared" si="13"/>
        <v>2740685.4496326135</v>
      </c>
      <c r="M72" s="10">
        <f t="shared" si="9"/>
        <v>135937.99830177764</v>
      </c>
      <c r="N72" s="10">
        <f t="shared" si="10"/>
        <v>0</v>
      </c>
      <c r="O72" s="10">
        <f t="shared" si="14"/>
        <v>2831623.447934391</v>
      </c>
      <c r="P72" s="9">
        <f t="shared" si="11"/>
        <v>1</v>
      </c>
      <c r="Q72" s="11">
        <f t="shared" si="15"/>
        <v>45000</v>
      </c>
    </row>
    <row r="73" spans="11:17" x14ac:dyDescent="0.2">
      <c r="K73" s="9">
        <f t="shared" si="12"/>
        <v>101</v>
      </c>
      <c r="L73" s="10">
        <f t="shared" si="13"/>
        <v>2831623.447934391</v>
      </c>
      <c r="M73" s="10">
        <f t="shared" si="9"/>
        <v>140448.52301754581</v>
      </c>
      <c r="N73" s="10">
        <f t="shared" si="10"/>
        <v>0</v>
      </c>
      <c r="O73" s="10">
        <f t="shared" si="14"/>
        <v>2927071.9709519367</v>
      </c>
      <c r="P73" s="9">
        <f t="shared" si="11"/>
        <v>1</v>
      </c>
      <c r="Q73" s="11">
        <f t="shared" si="15"/>
        <v>45000</v>
      </c>
    </row>
    <row r="74" spans="11:17" x14ac:dyDescent="0.2">
      <c r="K74" s="9" t="str">
        <f t="shared" si="12"/>
        <v/>
      </c>
      <c r="L74" s="10" t="str">
        <f t="shared" si="13"/>
        <v/>
      </c>
      <c r="M74" s="10" t="str">
        <f t="shared" si="9"/>
        <v/>
      </c>
      <c r="N74" s="10" t="str">
        <f t="shared" si="10"/>
        <v/>
      </c>
      <c r="O74" s="10" t="str">
        <f t="shared" si="14"/>
        <v/>
      </c>
      <c r="P74" s="9" t="str">
        <f t="shared" si="11"/>
        <v/>
      </c>
      <c r="Q74" s="11" t="str">
        <f t="shared" si="15"/>
        <v/>
      </c>
    </row>
    <row r="75" spans="11:17" x14ac:dyDescent="0.2">
      <c r="K75" s="9" t="str">
        <f t="shared" si="12"/>
        <v/>
      </c>
      <c r="L75" s="10" t="str">
        <f t="shared" si="13"/>
        <v/>
      </c>
      <c r="M75" s="10" t="str">
        <f t="shared" si="9"/>
        <v/>
      </c>
      <c r="N75" s="10" t="str">
        <f t="shared" si="10"/>
        <v/>
      </c>
      <c r="O75" s="10" t="str">
        <f t="shared" si="14"/>
        <v/>
      </c>
      <c r="P75" s="9" t="str">
        <f t="shared" si="11"/>
        <v/>
      </c>
      <c r="Q75" s="11" t="str">
        <f t="shared" si="15"/>
        <v/>
      </c>
    </row>
    <row r="76" spans="11:17" x14ac:dyDescent="0.2">
      <c r="K76" s="9" t="str">
        <f t="shared" si="12"/>
        <v/>
      </c>
      <c r="L76" s="10" t="str">
        <f t="shared" si="13"/>
        <v/>
      </c>
      <c r="M76" s="10" t="str">
        <f t="shared" si="9"/>
        <v/>
      </c>
      <c r="N76" s="10" t="str">
        <f t="shared" si="10"/>
        <v/>
      </c>
      <c r="O76" s="10" t="str">
        <f t="shared" si="14"/>
        <v/>
      </c>
      <c r="P76" s="9" t="str">
        <f t="shared" si="11"/>
        <v/>
      </c>
      <c r="Q76" s="11" t="str">
        <f t="shared" si="15"/>
        <v/>
      </c>
    </row>
    <row r="77" spans="11:17" x14ac:dyDescent="0.2">
      <c r="K77" s="9" t="str">
        <f t="shared" si="12"/>
        <v/>
      </c>
      <c r="L77" s="10" t="str">
        <f t="shared" si="13"/>
        <v/>
      </c>
      <c r="M77" s="10" t="str">
        <f t="shared" si="9"/>
        <v/>
      </c>
      <c r="N77" s="10" t="str">
        <f t="shared" si="10"/>
        <v/>
      </c>
      <c r="O77" s="10" t="str">
        <f t="shared" si="14"/>
        <v/>
      </c>
      <c r="P77" s="9" t="str">
        <f t="shared" si="11"/>
        <v/>
      </c>
      <c r="Q77" s="11" t="str">
        <f t="shared" si="15"/>
        <v/>
      </c>
    </row>
    <row r="78" spans="11:17" x14ac:dyDescent="0.2">
      <c r="K78" s="9" t="str">
        <f t="shared" si="12"/>
        <v/>
      </c>
      <c r="L78" s="10" t="str">
        <f t="shared" si="13"/>
        <v/>
      </c>
      <c r="M78" s="10" t="str">
        <f t="shared" si="9"/>
        <v/>
      </c>
      <c r="N78" s="10" t="str">
        <f t="shared" si="10"/>
        <v/>
      </c>
      <c r="O78" s="10" t="str">
        <f t="shared" si="14"/>
        <v/>
      </c>
      <c r="P78" s="9" t="str">
        <f t="shared" si="11"/>
        <v/>
      </c>
      <c r="Q78" s="11" t="str">
        <f t="shared" si="15"/>
        <v/>
      </c>
    </row>
    <row r="79" spans="11:17" x14ac:dyDescent="0.2">
      <c r="K79" s="9" t="str">
        <f t="shared" si="12"/>
        <v/>
      </c>
      <c r="L79" s="10" t="str">
        <f t="shared" si="13"/>
        <v/>
      </c>
      <c r="M79" s="10" t="str">
        <f t="shared" si="9"/>
        <v/>
      </c>
      <c r="N79" s="10" t="str">
        <f t="shared" si="10"/>
        <v/>
      </c>
      <c r="O79" s="10" t="str">
        <f t="shared" si="14"/>
        <v/>
      </c>
      <c r="P79" s="9" t="str">
        <f t="shared" si="11"/>
        <v/>
      </c>
      <c r="Q79" s="11" t="str">
        <f t="shared" si="15"/>
        <v/>
      </c>
    </row>
    <row r="80" spans="11:17" x14ac:dyDescent="0.2">
      <c r="K80" s="9" t="str">
        <f t="shared" si="12"/>
        <v/>
      </c>
      <c r="L80" s="10" t="str">
        <f t="shared" si="13"/>
        <v/>
      </c>
      <c r="M80" s="10" t="str">
        <f t="shared" si="9"/>
        <v/>
      </c>
      <c r="N80" s="10" t="str">
        <f t="shared" si="10"/>
        <v/>
      </c>
      <c r="O80" s="10" t="str">
        <f t="shared" si="14"/>
        <v/>
      </c>
      <c r="P80" s="9" t="str">
        <f t="shared" si="11"/>
        <v/>
      </c>
      <c r="Q80" s="11" t="str">
        <f t="shared" si="15"/>
        <v/>
      </c>
    </row>
    <row r="81" spans="11:17" x14ac:dyDescent="0.2">
      <c r="K81" s="9" t="str">
        <f t="shared" si="12"/>
        <v/>
      </c>
      <c r="L81" s="10" t="str">
        <f t="shared" si="13"/>
        <v/>
      </c>
      <c r="M81" s="10" t="str">
        <f t="shared" si="9"/>
        <v/>
      </c>
      <c r="N81" s="10" t="str">
        <f t="shared" si="10"/>
        <v/>
      </c>
      <c r="O81" s="10" t="str">
        <f t="shared" si="14"/>
        <v/>
      </c>
      <c r="P81" s="9" t="str">
        <f t="shared" si="11"/>
        <v/>
      </c>
      <c r="Q81" s="11" t="str">
        <f t="shared" si="15"/>
        <v/>
      </c>
    </row>
    <row r="82" spans="11:17" x14ac:dyDescent="0.2">
      <c r="K82" s="9" t="str">
        <f t="shared" si="12"/>
        <v/>
      </c>
      <c r="L82" s="10" t="str">
        <f t="shared" si="13"/>
        <v/>
      </c>
      <c r="M82" s="10" t="str">
        <f t="shared" si="9"/>
        <v/>
      </c>
      <c r="N82" s="10" t="str">
        <f t="shared" si="10"/>
        <v/>
      </c>
      <c r="O82" s="10" t="str">
        <f t="shared" si="14"/>
        <v/>
      </c>
      <c r="P82" s="9" t="str">
        <f t="shared" si="11"/>
        <v/>
      </c>
      <c r="Q82" s="11" t="str">
        <f t="shared" si="15"/>
        <v/>
      </c>
    </row>
    <row r="83" spans="11:17" x14ac:dyDescent="0.2">
      <c r="K83" s="9" t="str">
        <f t="shared" si="12"/>
        <v/>
      </c>
      <c r="L83" s="10" t="str">
        <f t="shared" si="13"/>
        <v/>
      </c>
      <c r="M83" s="10" t="str">
        <f t="shared" si="9"/>
        <v/>
      </c>
      <c r="N83" s="10" t="str">
        <f t="shared" si="10"/>
        <v/>
      </c>
      <c r="O83" s="10" t="str">
        <f t="shared" si="14"/>
        <v/>
      </c>
      <c r="P83" s="9" t="str">
        <f t="shared" si="11"/>
        <v/>
      </c>
      <c r="Q83" s="11" t="str">
        <f t="shared" si="15"/>
        <v/>
      </c>
    </row>
    <row r="84" spans="11:17" x14ac:dyDescent="0.2">
      <c r="K84" s="9" t="str">
        <f t="shared" si="12"/>
        <v/>
      </c>
      <c r="L84" s="10" t="str">
        <f t="shared" si="13"/>
        <v/>
      </c>
      <c r="M84" s="10" t="str">
        <f t="shared" si="9"/>
        <v/>
      </c>
      <c r="N84" s="10" t="str">
        <f t="shared" si="10"/>
        <v/>
      </c>
      <c r="O84" s="10" t="str">
        <f t="shared" si="14"/>
        <v/>
      </c>
      <c r="P84" s="9" t="str">
        <f t="shared" si="11"/>
        <v/>
      </c>
      <c r="Q84" s="11" t="str">
        <f t="shared" si="15"/>
        <v/>
      </c>
    </row>
    <row r="85" spans="11:17" x14ac:dyDescent="0.2">
      <c r="K85" s="9" t="str">
        <f t="shared" si="12"/>
        <v/>
      </c>
      <c r="L85" s="10" t="str">
        <f t="shared" si="13"/>
        <v/>
      </c>
      <c r="M85" s="10" t="str">
        <f t="shared" si="9"/>
        <v/>
      </c>
      <c r="N85" s="10" t="str">
        <f t="shared" si="10"/>
        <v/>
      </c>
      <c r="O85" s="10" t="str">
        <f t="shared" si="14"/>
        <v/>
      </c>
      <c r="P85" s="9" t="str">
        <f t="shared" si="11"/>
        <v/>
      </c>
      <c r="Q85" s="11" t="str">
        <f t="shared" si="15"/>
        <v/>
      </c>
    </row>
    <row r="86" spans="11:17" x14ac:dyDescent="0.2">
      <c r="K86" s="9" t="str">
        <f t="shared" si="12"/>
        <v/>
      </c>
      <c r="L86" s="10" t="str">
        <f t="shared" si="13"/>
        <v/>
      </c>
      <c r="M86" s="10" t="str">
        <f t="shared" si="9"/>
        <v/>
      </c>
      <c r="N86" s="10" t="str">
        <f t="shared" si="10"/>
        <v/>
      </c>
      <c r="O86" s="10" t="str">
        <f t="shared" si="14"/>
        <v/>
      </c>
      <c r="P86" s="9" t="str">
        <f t="shared" si="11"/>
        <v/>
      </c>
      <c r="Q86" s="11" t="str">
        <f t="shared" si="15"/>
        <v/>
      </c>
    </row>
    <row r="87" spans="11:17" x14ac:dyDescent="0.2">
      <c r="K87" s="9" t="str">
        <f t="shared" si="12"/>
        <v/>
      </c>
      <c r="L87" s="10" t="str">
        <f t="shared" si="13"/>
        <v/>
      </c>
      <c r="M87" s="10" t="str">
        <f t="shared" si="9"/>
        <v/>
      </c>
      <c r="N87" s="10" t="str">
        <f t="shared" si="10"/>
        <v/>
      </c>
      <c r="O87" s="10" t="str">
        <f t="shared" si="14"/>
        <v/>
      </c>
      <c r="P87" s="9" t="str">
        <f t="shared" si="11"/>
        <v/>
      </c>
      <c r="Q87" s="11" t="str">
        <f t="shared" si="15"/>
        <v/>
      </c>
    </row>
    <row r="88" spans="11:17" x14ac:dyDescent="0.2">
      <c r="K88" s="9" t="str">
        <f t="shared" si="12"/>
        <v/>
      </c>
      <c r="L88" s="10" t="str">
        <f t="shared" si="13"/>
        <v/>
      </c>
      <c r="M88" s="10" t="str">
        <f t="shared" si="9"/>
        <v/>
      </c>
      <c r="N88" s="10" t="str">
        <f t="shared" si="10"/>
        <v/>
      </c>
      <c r="O88" s="10" t="str">
        <f t="shared" si="14"/>
        <v/>
      </c>
      <c r="P88" s="9" t="str">
        <f t="shared" si="11"/>
        <v/>
      </c>
      <c r="Q88" s="11" t="str">
        <f t="shared" ref="Q88:Q122" si="16">IF(K88="","",IF(N88=0,$D$9*$I$10*P88-$I$9*P88,$D$9*$I$10*P88))</f>
        <v/>
      </c>
    </row>
    <row r="89" spans="11:17" x14ac:dyDescent="0.2">
      <c r="K89" s="9" t="str">
        <f t="shared" si="12"/>
        <v/>
      </c>
      <c r="L89" s="10" t="str">
        <f t="shared" si="13"/>
        <v/>
      </c>
      <c r="M89" s="10" t="str">
        <f t="shared" si="9"/>
        <v/>
      </c>
      <c r="N89" s="10" t="str">
        <f t="shared" si="10"/>
        <v/>
      </c>
      <c r="O89" s="10" t="str">
        <f t="shared" si="14"/>
        <v/>
      </c>
      <c r="P89" s="9" t="str">
        <f t="shared" si="11"/>
        <v/>
      </c>
      <c r="Q89" s="11" t="str">
        <f t="shared" si="16"/>
        <v/>
      </c>
    </row>
    <row r="90" spans="11:17" x14ac:dyDescent="0.2">
      <c r="K90" s="9" t="str">
        <f t="shared" si="12"/>
        <v/>
      </c>
      <c r="L90" s="10" t="str">
        <f t="shared" si="13"/>
        <v/>
      </c>
      <c r="M90" s="10" t="str">
        <f t="shared" si="9"/>
        <v/>
      </c>
      <c r="N90" s="10" t="str">
        <f t="shared" si="10"/>
        <v/>
      </c>
      <c r="O90" s="10" t="str">
        <f t="shared" si="14"/>
        <v/>
      </c>
      <c r="P90" s="9" t="str">
        <f t="shared" si="11"/>
        <v/>
      </c>
      <c r="Q90" s="11" t="str">
        <f t="shared" si="16"/>
        <v/>
      </c>
    </row>
    <row r="91" spans="11:17" x14ac:dyDescent="0.2">
      <c r="K91" s="9" t="str">
        <f t="shared" si="12"/>
        <v/>
      </c>
      <c r="L91" s="10" t="str">
        <f t="shared" si="13"/>
        <v/>
      </c>
      <c r="M91" s="10" t="str">
        <f t="shared" si="9"/>
        <v/>
      </c>
      <c r="N91" s="10" t="str">
        <f t="shared" si="10"/>
        <v/>
      </c>
      <c r="O91" s="10" t="str">
        <f t="shared" si="14"/>
        <v/>
      </c>
      <c r="P91" s="9" t="str">
        <f t="shared" si="11"/>
        <v/>
      </c>
      <c r="Q91" s="11" t="str">
        <f t="shared" si="16"/>
        <v/>
      </c>
    </row>
    <row r="92" spans="11:17" x14ac:dyDescent="0.2">
      <c r="K92" s="9" t="str">
        <f t="shared" si="12"/>
        <v/>
      </c>
      <c r="L92" s="10" t="str">
        <f t="shared" si="13"/>
        <v/>
      </c>
      <c r="M92" s="10" t="str">
        <f t="shared" si="9"/>
        <v/>
      </c>
      <c r="N92" s="10" t="str">
        <f t="shared" si="10"/>
        <v/>
      </c>
      <c r="O92" s="10" t="str">
        <f t="shared" si="14"/>
        <v/>
      </c>
      <c r="P92" s="9" t="str">
        <f t="shared" si="11"/>
        <v/>
      </c>
      <c r="Q92" s="11" t="str">
        <f t="shared" si="16"/>
        <v/>
      </c>
    </row>
    <row r="93" spans="11:17" x14ac:dyDescent="0.2">
      <c r="K93" s="9" t="str">
        <f t="shared" si="12"/>
        <v/>
      </c>
      <c r="L93" s="10" t="str">
        <f t="shared" si="13"/>
        <v/>
      </c>
      <c r="M93" s="10" t="str">
        <f t="shared" si="9"/>
        <v/>
      </c>
      <c r="N93" s="10" t="str">
        <f t="shared" si="10"/>
        <v/>
      </c>
      <c r="O93" s="10" t="str">
        <f t="shared" si="14"/>
        <v/>
      </c>
      <c r="P93" s="9" t="str">
        <f t="shared" si="11"/>
        <v/>
      </c>
      <c r="Q93" s="11" t="str">
        <f t="shared" si="16"/>
        <v/>
      </c>
    </row>
    <row r="94" spans="11:17" x14ac:dyDescent="0.2">
      <c r="K94" s="9" t="str">
        <f t="shared" si="12"/>
        <v/>
      </c>
      <c r="L94" s="10" t="str">
        <f t="shared" si="13"/>
        <v/>
      </c>
      <c r="M94" s="10" t="str">
        <f t="shared" si="9"/>
        <v/>
      </c>
      <c r="N94" s="10" t="str">
        <f t="shared" si="10"/>
        <v/>
      </c>
      <c r="O94" s="10" t="str">
        <f t="shared" si="14"/>
        <v/>
      </c>
      <c r="P94" s="9" t="str">
        <f t="shared" si="11"/>
        <v/>
      </c>
      <c r="Q94" s="11" t="str">
        <f t="shared" si="16"/>
        <v/>
      </c>
    </row>
    <row r="95" spans="11:17" x14ac:dyDescent="0.2">
      <c r="K95" s="9" t="str">
        <f t="shared" si="12"/>
        <v/>
      </c>
      <c r="L95" s="10" t="str">
        <f t="shared" si="13"/>
        <v/>
      </c>
      <c r="M95" s="10" t="str">
        <f t="shared" si="9"/>
        <v/>
      </c>
      <c r="N95" s="10" t="str">
        <f t="shared" si="10"/>
        <v/>
      </c>
      <c r="O95" s="10" t="str">
        <f t="shared" si="14"/>
        <v/>
      </c>
      <c r="P95" s="9" t="str">
        <f t="shared" si="11"/>
        <v/>
      </c>
      <c r="Q95" s="11" t="str">
        <f t="shared" si="16"/>
        <v/>
      </c>
    </row>
    <row r="96" spans="11:17" x14ac:dyDescent="0.2">
      <c r="K96" s="9" t="str">
        <f t="shared" si="12"/>
        <v/>
      </c>
      <c r="L96" s="10" t="str">
        <f t="shared" si="13"/>
        <v/>
      </c>
      <c r="M96" s="10" t="str">
        <f t="shared" si="9"/>
        <v/>
      </c>
      <c r="N96" s="10" t="str">
        <f t="shared" si="10"/>
        <v/>
      </c>
      <c r="O96" s="10" t="str">
        <f t="shared" si="14"/>
        <v/>
      </c>
      <c r="P96" s="9" t="str">
        <f t="shared" si="11"/>
        <v/>
      </c>
      <c r="Q96" s="11" t="str">
        <f t="shared" si="16"/>
        <v/>
      </c>
    </row>
    <row r="97" spans="11:17" x14ac:dyDescent="0.2">
      <c r="K97" s="9" t="str">
        <f t="shared" si="12"/>
        <v/>
      </c>
      <c r="L97" s="10" t="str">
        <f t="shared" si="13"/>
        <v/>
      </c>
      <c r="M97" s="10" t="str">
        <f t="shared" si="9"/>
        <v/>
      </c>
      <c r="N97" s="10" t="str">
        <f t="shared" si="10"/>
        <v/>
      </c>
      <c r="O97" s="10" t="str">
        <f t="shared" si="14"/>
        <v/>
      </c>
      <c r="P97" s="9" t="str">
        <f t="shared" si="11"/>
        <v/>
      </c>
      <c r="Q97" s="11" t="str">
        <f t="shared" si="16"/>
        <v/>
      </c>
    </row>
    <row r="98" spans="11:17" x14ac:dyDescent="0.2">
      <c r="K98" s="9" t="str">
        <f t="shared" si="12"/>
        <v/>
      </c>
      <c r="L98" s="10" t="str">
        <f t="shared" si="13"/>
        <v/>
      </c>
      <c r="M98" s="10" t="str">
        <f t="shared" si="9"/>
        <v/>
      </c>
      <c r="N98" s="10" t="str">
        <f t="shared" si="10"/>
        <v/>
      </c>
      <c r="O98" s="10" t="str">
        <f t="shared" si="14"/>
        <v/>
      </c>
      <c r="P98" s="9" t="str">
        <f t="shared" si="11"/>
        <v/>
      </c>
      <c r="Q98" s="11" t="str">
        <f t="shared" si="16"/>
        <v/>
      </c>
    </row>
    <row r="99" spans="11:17" x14ac:dyDescent="0.2">
      <c r="K99" s="9" t="str">
        <f t="shared" si="12"/>
        <v/>
      </c>
      <c r="L99" s="10" t="str">
        <f t="shared" si="13"/>
        <v/>
      </c>
      <c r="M99" s="10" t="str">
        <f t="shared" si="9"/>
        <v/>
      </c>
      <c r="N99" s="10" t="str">
        <f t="shared" ref="N99:N122" si="17">IF(K99="","",IF(K99&gt;=$I$7,0,IF($I$14=TRUE,N98*(1+$D$11-$D$12),N98*(1+$D$11))))</f>
        <v/>
      </c>
      <c r="O99" s="10" t="str">
        <f t="shared" si="14"/>
        <v/>
      </c>
      <c r="P99" s="9" t="str">
        <f t="shared" ref="P99:P122" si="18">IF(K99="","",IF($I$14=TRUE,1,(1+$D$12)^(ROW(K98)-1)))</f>
        <v/>
      </c>
      <c r="Q99" s="11" t="str">
        <f t="shared" si="16"/>
        <v/>
      </c>
    </row>
    <row r="100" spans="11:17" x14ac:dyDescent="0.2">
      <c r="K100" s="9" t="str">
        <f t="shared" si="12"/>
        <v/>
      </c>
      <c r="L100" s="10" t="str">
        <f t="shared" si="13"/>
        <v/>
      </c>
      <c r="M100" s="10" t="str">
        <f t="shared" si="9"/>
        <v/>
      </c>
      <c r="N100" s="10" t="str">
        <f t="shared" si="17"/>
        <v/>
      </c>
      <c r="O100" s="10" t="str">
        <f t="shared" si="14"/>
        <v/>
      </c>
      <c r="P100" s="9" t="str">
        <f t="shared" si="18"/>
        <v/>
      </c>
      <c r="Q100" s="11" t="str">
        <f t="shared" si="16"/>
        <v/>
      </c>
    </row>
    <row r="101" spans="11:17" x14ac:dyDescent="0.2">
      <c r="K101" s="9" t="str">
        <f t="shared" si="12"/>
        <v/>
      </c>
      <c r="L101" s="10" t="str">
        <f t="shared" si="13"/>
        <v/>
      </c>
      <c r="M101" s="10" t="str">
        <f t="shared" si="9"/>
        <v/>
      </c>
      <c r="N101" s="10" t="str">
        <f t="shared" si="17"/>
        <v/>
      </c>
      <c r="O101" s="10" t="str">
        <f t="shared" si="14"/>
        <v/>
      </c>
      <c r="P101" s="9" t="str">
        <f t="shared" si="18"/>
        <v/>
      </c>
      <c r="Q101" s="11" t="str">
        <f t="shared" si="16"/>
        <v/>
      </c>
    </row>
    <row r="102" spans="11:17" x14ac:dyDescent="0.2">
      <c r="K102" s="9" t="str">
        <f t="shared" si="12"/>
        <v/>
      </c>
      <c r="L102" s="10" t="str">
        <f t="shared" si="13"/>
        <v/>
      </c>
      <c r="M102" s="10" t="str">
        <f t="shared" si="9"/>
        <v/>
      </c>
      <c r="N102" s="10" t="str">
        <f t="shared" si="17"/>
        <v/>
      </c>
      <c r="O102" s="10" t="str">
        <f t="shared" si="14"/>
        <v/>
      </c>
      <c r="P102" s="9" t="str">
        <f t="shared" si="18"/>
        <v/>
      </c>
      <c r="Q102" s="11" t="str">
        <f t="shared" si="16"/>
        <v/>
      </c>
    </row>
    <row r="103" spans="11:17" x14ac:dyDescent="0.2">
      <c r="K103" s="9" t="str">
        <f t="shared" si="12"/>
        <v/>
      </c>
      <c r="L103" s="10" t="str">
        <f t="shared" si="13"/>
        <v/>
      </c>
      <c r="M103" s="10" t="str">
        <f t="shared" si="9"/>
        <v/>
      </c>
      <c r="N103" s="10" t="str">
        <f t="shared" si="17"/>
        <v/>
      </c>
      <c r="O103" s="10" t="str">
        <f t="shared" si="14"/>
        <v/>
      </c>
      <c r="P103" s="9" t="str">
        <f t="shared" si="18"/>
        <v/>
      </c>
      <c r="Q103" s="11" t="str">
        <f t="shared" si="16"/>
        <v/>
      </c>
    </row>
    <row r="104" spans="11:17" x14ac:dyDescent="0.2">
      <c r="K104" s="9" t="str">
        <f t="shared" si="12"/>
        <v/>
      </c>
      <c r="L104" s="10" t="str">
        <f t="shared" si="13"/>
        <v/>
      </c>
      <c r="M104" s="10" t="str">
        <f t="shared" si="9"/>
        <v/>
      </c>
      <c r="N104" s="10" t="str">
        <f t="shared" si="17"/>
        <v/>
      </c>
      <c r="O104" s="10" t="str">
        <f t="shared" si="14"/>
        <v/>
      </c>
      <c r="P104" s="9" t="str">
        <f t="shared" si="18"/>
        <v/>
      </c>
      <c r="Q104" s="11" t="str">
        <f t="shared" si="16"/>
        <v/>
      </c>
    </row>
    <row r="105" spans="11:17" x14ac:dyDescent="0.2">
      <c r="K105" s="9" t="str">
        <f t="shared" si="12"/>
        <v/>
      </c>
      <c r="L105" s="10" t="str">
        <f t="shared" si="13"/>
        <v/>
      </c>
      <c r="M105" s="10" t="str">
        <f t="shared" si="9"/>
        <v/>
      </c>
      <c r="N105" s="10" t="str">
        <f t="shared" si="17"/>
        <v/>
      </c>
      <c r="O105" s="10" t="str">
        <f t="shared" si="14"/>
        <v/>
      </c>
      <c r="P105" s="9" t="str">
        <f t="shared" si="18"/>
        <v/>
      </c>
      <c r="Q105" s="11" t="str">
        <f t="shared" si="16"/>
        <v/>
      </c>
    </row>
    <row r="106" spans="11:17" x14ac:dyDescent="0.2">
      <c r="K106" s="9" t="str">
        <f t="shared" si="12"/>
        <v/>
      </c>
      <c r="L106" s="10" t="str">
        <f t="shared" si="13"/>
        <v/>
      </c>
      <c r="M106" s="10" t="str">
        <f t="shared" si="9"/>
        <v/>
      </c>
      <c r="N106" s="10" t="str">
        <f t="shared" si="17"/>
        <v/>
      </c>
      <c r="O106" s="10" t="str">
        <f t="shared" si="14"/>
        <v/>
      </c>
      <c r="P106" s="9" t="str">
        <f t="shared" si="18"/>
        <v/>
      </c>
      <c r="Q106" s="11" t="str">
        <f t="shared" si="16"/>
        <v/>
      </c>
    </row>
    <row r="107" spans="11:17" x14ac:dyDescent="0.2">
      <c r="K107" s="9" t="str">
        <f t="shared" si="12"/>
        <v/>
      </c>
      <c r="L107" s="10" t="str">
        <f t="shared" si="13"/>
        <v/>
      </c>
      <c r="M107" s="10" t="str">
        <f t="shared" si="9"/>
        <v/>
      </c>
      <c r="N107" s="10" t="str">
        <f t="shared" si="17"/>
        <v/>
      </c>
      <c r="O107" s="10" t="str">
        <f t="shared" si="14"/>
        <v/>
      </c>
      <c r="P107" s="9" t="str">
        <f t="shared" si="18"/>
        <v/>
      </c>
      <c r="Q107" s="11" t="str">
        <f t="shared" si="16"/>
        <v/>
      </c>
    </row>
    <row r="108" spans="11:17" x14ac:dyDescent="0.2">
      <c r="K108" s="9" t="str">
        <f t="shared" si="12"/>
        <v/>
      </c>
      <c r="L108" s="10" t="str">
        <f t="shared" si="13"/>
        <v/>
      </c>
      <c r="M108" s="10" t="str">
        <f t="shared" si="9"/>
        <v/>
      </c>
      <c r="N108" s="10" t="str">
        <f t="shared" si="17"/>
        <v/>
      </c>
      <c r="O108" s="10" t="str">
        <f t="shared" si="14"/>
        <v/>
      </c>
      <c r="P108" s="9" t="str">
        <f t="shared" si="18"/>
        <v/>
      </c>
      <c r="Q108" s="11" t="str">
        <f t="shared" si="16"/>
        <v/>
      </c>
    </row>
    <row r="109" spans="11:17" x14ac:dyDescent="0.2">
      <c r="K109" s="9" t="str">
        <f t="shared" si="12"/>
        <v/>
      </c>
      <c r="L109" s="10" t="str">
        <f t="shared" si="13"/>
        <v/>
      </c>
      <c r="M109" s="10" t="str">
        <f t="shared" si="9"/>
        <v/>
      </c>
      <c r="N109" s="10" t="str">
        <f t="shared" si="17"/>
        <v/>
      </c>
      <c r="O109" s="10" t="str">
        <f t="shared" si="14"/>
        <v/>
      </c>
      <c r="P109" s="9" t="str">
        <f t="shared" si="18"/>
        <v/>
      </c>
      <c r="Q109" s="11" t="str">
        <f t="shared" si="16"/>
        <v/>
      </c>
    </row>
    <row r="110" spans="11:17" x14ac:dyDescent="0.2">
      <c r="K110" s="9" t="str">
        <f t="shared" si="12"/>
        <v/>
      </c>
      <c r="L110" s="10" t="str">
        <f t="shared" si="13"/>
        <v/>
      </c>
      <c r="M110" s="10" t="str">
        <f t="shared" si="9"/>
        <v/>
      </c>
      <c r="N110" s="10" t="str">
        <f t="shared" si="17"/>
        <v/>
      </c>
      <c r="O110" s="10" t="str">
        <f t="shared" si="14"/>
        <v/>
      </c>
      <c r="P110" s="9" t="str">
        <f t="shared" si="18"/>
        <v/>
      </c>
      <c r="Q110" s="11" t="str">
        <f t="shared" si="16"/>
        <v/>
      </c>
    </row>
    <row r="111" spans="11:17" x14ac:dyDescent="0.2">
      <c r="K111" s="9" t="str">
        <f t="shared" si="12"/>
        <v/>
      </c>
      <c r="L111" s="10" t="str">
        <f t="shared" si="13"/>
        <v/>
      </c>
      <c r="M111" s="10" t="str">
        <f t="shared" si="9"/>
        <v/>
      </c>
      <c r="N111" s="10" t="str">
        <f t="shared" si="17"/>
        <v/>
      </c>
      <c r="O111" s="10" t="str">
        <f t="shared" si="14"/>
        <v/>
      </c>
      <c r="P111" s="9" t="str">
        <f t="shared" si="18"/>
        <v/>
      </c>
      <c r="Q111" s="11" t="str">
        <f t="shared" si="16"/>
        <v/>
      </c>
    </row>
    <row r="112" spans="11:17" x14ac:dyDescent="0.2">
      <c r="K112" s="9" t="str">
        <f t="shared" si="12"/>
        <v/>
      </c>
      <c r="L112" s="10" t="str">
        <f t="shared" si="13"/>
        <v/>
      </c>
      <c r="M112" s="10" t="str">
        <f t="shared" si="9"/>
        <v/>
      </c>
      <c r="N112" s="10" t="str">
        <f t="shared" si="17"/>
        <v/>
      </c>
      <c r="O112" s="10" t="str">
        <f t="shared" si="14"/>
        <v/>
      </c>
      <c r="P112" s="9" t="str">
        <f t="shared" si="18"/>
        <v/>
      </c>
      <c r="Q112" s="11" t="str">
        <f t="shared" si="16"/>
        <v/>
      </c>
    </row>
    <row r="113" spans="11:17" x14ac:dyDescent="0.2">
      <c r="K113" s="9" t="str">
        <f t="shared" si="12"/>
        <v/>
      </c>
      <c r="L113" s="10" t="str">
        <f t="shared" si="13"/>
        <v/>
      </c>
      <c r="M113" s="10" t="str">
        <f t="shared" si="9"/>
        <v/>
      </c>
      <c r="N113" s="10" t="str">
        <f t="shared" si="17"/>
        <v/>
      </c>
      <c r="O113" s="10" t="str">
        <f t="shared" si="14"/>
        <v/>
      </c>
      <c r="P113" s="9" t="str">
        <f t="shared" si="18"/>
        <v/>
      </c>
      <c r="Q113" s="11" t="str">
        <f t="shared" si="16"/>
        <v/>
      </c>
    </row>
    <row r="114" spans="11:17" x14ac:dyDescent="0.2">
      <c r="K114" s="9" t="str">
        <f t="shared" si="12"/>
        <v/>
      </c>
      <c r="L114" s="10" t="str">
        <f t="shared" si="13"/>
        <v/>
      </c>
      <c r="M114" s="10" t="str">
        <f t="shared" si="9"/>
        <v/>
      </c>
      <c r="N114" s="10" t="str">
        <f t="shared" si="17"/>
        <v/>
      </c>
      <c r="O114" s="10" t="str">
        <f t="shared" si="14"/>
        <v/>
      </c>
      <c r="P114" s="9" t="str">
        <f t="shared" si="18"/>
        <v/>
      </c>
      <c r="Q114" s="11" t="str">
        <f t="shared" si="16"/>
        <v/>
      </c>
    </row>
    <row r="115" spans="11:17" x14ac:dyDescent="0.2">
      <c r="K115" s="9" t="str">
        <f t="shared" si="12"/>
        <v/>
      </c>
      <c r="L115" s="10" t="str">
        <f t="shared" si="13"/>
        <v/>
      </c>
      <c r="M115" s="10" t="str">
        <f t="shared" si="9"/>
        <v/>
      </c>
      <c r="N115" s="10" t="str">
        <f t="shared" si="17"/>
        <v/>
      </c>
      <c r="O115" s="10" t="str">
        <f t="shared" si="14"/>
        <v/>
      </c>
      <c r="P115" s="9" t="str">
        <f t="shared" si="18"/>
        <v/>
      </c>
      <c r="Q115" s="11" t="str">
        <f t="shared" si="16"/>
        <v/>
      </c>
    </row>
    <row r="116" spans="11:17" x14ac:dyDescent="0.2">
      <c r="K116" s="9" t="str">
        <f t="shared" si="12"/>
        <v/>
      </c>
      <c r="L116" s="10" t="str">
        <f t="shared" si="13"/>
        <v/>
      </c>
      <c r="M116" s="10" t="str">
        <f t="shared" si="9"/>
        <v/>
      </c>
      <c r="N116" s="10" t="str">
        <f t="shared" si="17"/>
        <v/>
      </c>
      <c r="O116" s="10" t="str">
        <f t="shared" si="14"/>
        <v/>
      </c>
      <c r="P116" s="9" t="str">
        <f t="shared" si="18"/>
        <v/>
      </c>
      <c r="Q116" s="11" t="str">
        <f t="shared" si="16"/>
        <v/>
      </c>
    </row>
    <row r="117" spans="11:17" x14ac:dyDescent="0.2">
      <c r="K117" s="9" t="str">
        <f t="shared" si="12"/>
        <v/>
      </c>
      <c r="L117" s="10" t="str">
        <f t="shared" si="13"/>
        <v/>
      </c>
      <c r="M117" s="10" t="str">
        <f t="shared" si="9"/>
        <v/>
      </c>
      <c r="N117" s="10" t="str">
        <f t="shared" si="17"/>
        <v/>
      </c>
      <c r="O117" s="10" t="str">
        <f t="shared" si="14"/>
        <v/>
      </c>
      <c r="P117" s="9" t="str">
        <f t="shared" si="18"/>
        <v/>
      </c>
      <c r="Q117" s="11" t="str">
        <f t="shared" si="16"/>
        <v/>
      </c>
    </row>
    <row r="118" spans="11:17" x14ac:dyDescent="0.2">
      <c r="K118" s="9" t="str">
        <f t="shared" si="12"/>
        <v/>
      </c>
      <c r="L118" s="10" t="str">
        <f t="shared" si="13"/>
        <v/>
      </c>
      <c r="M118" s="10" t="str">
        <f t="shared" si="9"/>
        <v/>
      </c>
      <c r="N118" s="10" t="str">
        <f t="shared" si="17"/>
        <v/>
      </c>
      <c r="O118" s="10" t="str">
        <f t="shared" si="14"/>
        <v/>
      </c>
      <c r="P118" s="9" t="str">
        <f t="shared" si="18"/>
        <v/>
      </c>
      <c r="Q118" s="11" t="str">
        <f t="shared" si="16"/>
        <v/>
      </c>
    </row>
    <row r="119" spans="11:17" x14ac:dyDescent="0.2">
      <c r="K119" s="9" t="str">
        <f t="shared" si="12"/>
        <v/>
      </c>
      <c r="L119" s="10" t="str">
        <f t="shared" si="13"/>
        <v/>
      </c>
      <c r="M119" s="10" t="str">
        <f t="shared" si="9"/>
        <v/>
      </c>
      <c r="N119" s="10" t="str">
        <f t="shared" si="17"/>
        <v/>
      </c>
      <c r="O119" s="10" t="str">
        <f t="shared" si="14"/>
        <v/>
      </c>
      <c r="P119" s="9" t="str">
        <f t="shared" si="18"/>
        <v/>
      </c>
      <c r="Q119" s="11" t="str">
        <f t="shared" si="16"/>
        <v/>
      </c>
    </row>
    <row r="120" spans="11:17" x14ac:dyDescent="0.2">
      <c r="K120" s="9" t="str">
        <f t="shared" si="12"/>
        <v/>
      </c>
      <c r="L120" s="10" t="str">
        <f t="shared" si="13"/>
        <v/>
      </c>
      <c r="M120" s="10" t="str">
        <f t="shared" si="9"/>
        <v/>
      </c>
      <c r="N120" s="10" t="str">
        <f t="shared" si="17"/>
        <v/>
      </c>
      <c r="O120" s="10" t="str">
        <f t="shared" si="14"/>
        <v/>
      </c>
      <c r="P120" s="9" t="str">
        <f t="shared" si="18"/>
        <v/>
      </c>
      <c r="Q120" s="11" t="str">
        <f t="shared" si="16"/>
        <v/>
      </c>
    </row>
    <row r="121" spans="11:17" x14ac:dyDescent="0.2">
      <c r="K121" s="9" t="str">
        <f t="shared" si="12"/>
        <v/>
      </c>
      <c r="L121" s="10" t="str">
        <f t="shared" si="13"/>
        <v/>
      </c>
      <c r="M121" s="10" t="str">
        <f t="shared" si="9"/>
        <v/>
      </c>
      <c r="N121" s="10" t="str">
        <f t="shared" si="17"/>
        <v/>
      </c>
      <c r="O121" s="10" t="str">
        <f t="shared" si="14"/>
        <v/>
      </c>
      <c r="P121" s="9" t="str">
        <f t="shared" si="18"/>
        <v/>
      </c>
      <c r="Q121" s="11" t="str">
        <f t="shared" si="16"/>
        <v/>
      </c>
    </row>
    <row r="122" spans="11:17" x14ac:dyDescent="0.2">
      <c r="K122" s="9" t="str">
        <f t="shared" si="12"/>
        <v/>
      </c>
      <c r="L122" s="10" t="str">
        <f t="shared" si="13"/>
        <v/>
      </c>
      <c r="M122" s="10" t="str">
        <f t="shared" si="9"/>
        <v/>
      </c>
      <c r="N122" s="10" t="str">
        <f t="shared" si="17"/>
        <v/>
      </c>
      <c r="O122" s="10" t="str">
        <f t="shared" si="14"/>
        <v/>
      </c>
      <c r="P122" s="9" t="str">
        <f t="shared" si="18"/>
        <v/>
      </c>
      <c r="Q122" s="11" t="str">
        <f t="shared" si="16"/>
        <v/>
      </c>
    </row>
  </sheetData>
  <mergeCells count="23">
    <mergeCell ref="B2:I2"/>
    <mergeCell ref="B4:I4"/>
    <mergeCell ref="B6:D6"/>
    <mergeCell ref="F6:I6"/>
    <mergeCell ref="B7:C7"/>
    <mergeCell ref="F7:H7"/>
    <mergeCell ref="B8:C8"/>
    <mergeCell ref="B9:C9"/>
    <mergeCell ref="B10:C10"/>
    <mergeCell ref="F8:H8"/>
    <mergeCell ref="F9:H9"/>
    <mergeCell ref="F10:H10"/>
    <mergeCell ref="B20:D20"/>
    <mergeCell ref="C19:D19"/>
    <mergeCell ref="B11:C11"/>
    <mergeCell ref="B12:C12"/>
    <mergeCell ref="F12:I12"/>
    <mergeCell ref="F14:H14"/>
    <mergeCell ref="F15:H15"/>
    <mergeCell ref="F16:H16"/>
    <mergeCell ref="F17:H17"/>
    <mergeCell ref="F18:H18"/>
    <mergeCell ref="F19:H19"/>
  </mergeCells>
  <conditionalFormatting sqref="I19">
    <cfRule type="cellIs" dxfId="1" priority="1" operator="lessThan">
      <formula>0</formula>
    </cfRule>
    <cfRule type="cellIs" dxfId="0" priority="2" operator="greaterThan">
      <formula>0</formula>
    </cfRule>
  </conditionalFormatting>
  <dataValidations xWindow="732" yWindow="662" count="17">
    <dataValidation allowBlank="1" showInputMessage="1" showErrorMessage="1" promptTitle="Portfolio Return" prompt="Portfolio return is before inflation_x000a_Portfolio real return is after inflation" sqref="C19:D19" xr:uid="{C0BB2D06-63B8-4CE9-B71F-5C5F3D8551F2}"/>
    <dataValidation allowBlank="1" showInputMessage="1" showErrorMessage="1" promptTitle="Inflation rate" prompt="How much prices will increase every year, on average.  Usually around 3%, but your mileage may vary" sqref="B12:C12" xr:uid="{8790848B-5E9F-4D16-8747-C7C0C555873A}"/>
    <dataValidation allowBlank="1" showInputMessage="1" showErrorMessage="1" promptTitle="Annual Expenses" prompt="How much money you need a year (in today's dollars)" sqref="B9:C9" xr:uid="{10D5F84B-BE9D-4890-B52B-E4B000D75C7A}"/>
    <dataValidation allowBlank="1" showInputMessage="1" showErrorMessage="1" promptTitle="Annual savings increase" prompt="How much your savings increase annually.  At 3%, if you're currently saving $10,000, next year you will save $10,300 and the following year you will save $10,609" sqref="B11:C11" xr:uid="{D94AC9D4-C656-4998-A92D-36C387B08A64}"/>
    <dataValidation allowBlank="1" showInputMessage="1" showErrorMessage="1" promptTitle="% Bonds" prompt="% of your investment portfolio in US bonds" sqref="B17" xr:uid="{E885D526-243F-4208-A34E-905E2FEC7635}"/>
    <dataValidation allowBlank="1" showInputMessage="1" showErrorMessage="1" promptTitle="% Stocks" prompt="% of your liquid investment portfolio in stocks" sqref="B16" xr:uid="{92F8AC6E-2A87-4ACC-94E2-57D61B60CB38}"/>
    <dataValidation allowBlank="1" showErrorMessage="1" promptTitle="% Cash" prompt="% of your liquid investment portfolio, not including primary home, in cash" sqref="C15" xr:uid="{504F1C92-D1DE-4E30-88C5-F91F0C095953}"/>
    <dataValidation allowBlank="1" showInputMessage="1" showErrorMessage="1" promptTitle="Withdrawal Rate" prompt="4% is considered sustainable" sqref="F8" xr:uid="{9ABA6280-9182-46B6-97A6-B8A59E9E7CDF}"/>
    <dataValidation allowBlank="1" showInputMessage="1" showErrorMessage="1" promptTitle="% Other" prompt="% of your investment portfolio in Other investments_x000a_" sqref="C18" xr:uid="{8AA3A12E-E8ED-42F3-98D3-D7A67BBC6258}"/>
    <dataValidation allowBlank="1" showInputMessage="1" showErrorMessage="1" promptTitle="% Cash" prompt="% of your liquid investment portfolio, not including primary home, in cash" sqref="B15" xr:uid="{07738E68-DC3A-436B-A43B-24C51B8DA5D6}"/>
    <dataValidation allowBlank="1" showErrorMessage="1" promptTitle="% Stocks" prompt="% of your liquid investment portfolio in stocks" sqref="C16" xr:uid="{6127CBBE-4DC7-4F56-8756-5BA083D118EB}"/>
    <dataValidation allowBlank="1" showErrorMessage="1" promptTitle="% Bonds" prompt="% of your investment portfolio in US bonds" sqref="C17" xr:uid="{FAAAA82F-9022-4003-9A11-6C9D323E2779}"/>
    <dataValidation allowBlank="1" showErrorMessage="1" sqref="D15:D18 B19 B2:D2 F15:F18 G6:H6 B6:B7 F2:I2 D7:D12 B8:C8 G17:H18 F19:H19 F6:F7 I6:I10 I14" xr:uid="{D2337304-5628-40AF-8455-F279D2E3C3AE}"/>
    <dataValidation allowBlank="1" showInputMessage="1" showErrorMessage="1" promptTitle="Adjust for Inflation" prompt="Check the box to see results in today's dollars" sqref="F14:H14" xr:uid="{52CFE606-7055-4192-B616-058D8CD456AB}"/>
    <dataValidation allowBlank="1" showInputMessage="1" showErrorMessage="1" promptTitle="Other Income" prompt="Social Security, pension, etc.  Annual amount, in today's dollars" sqref="F9:H9" xr:uid="{45AF7130-B2E3-4D04-9B4B-8EEC4F7D094E}"/>
    <dataValidation allowBlank="1" showInputMessage="1" showErrorMessage="1" promptTitle="Income replacement " prompt="Retirees tend to spend less than workers.  Enter how much of your current spending you will need your investments to cover in retirement" sqref="F10:H10" xr:uid="{6C1CB53D-3EC0-4F41-A14E-809CA993BABE}"/>
    <dataValidation allowBlank="1" showInputMessage="1" showErrorMessage="1" promptTitle="Annual retirement contributions" prompt="Anything you save or invest: 401k, savings account, HSA, IRA, brokerage, etc" sqref="B10:C10" xr:uid="{DDFD54B7-22AB-4A1D-802C-4F0C4D914FD4}"/>
  </dataValidation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 altText="">
                <anchor moveWithCells="1">
                  <from>
                    <xdr:col>8</xdr:col>
                    <xdr:colOff>152400</xdr:colOff>
                    <xdr:row>13</xdr:row>
                    <xdr:rowOff>0</xdr:rowOff>
                  </from>
                  <to>
                    <xdr:col>8</xdr:col>
                    <xdr:colOff>323850</xdr:colOff>
                    <xdr:row>13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7835CAE-C6B5-4A31-A387-0283BB4639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237E6C-A045-4554-B1A7-2C0D63928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A21BA9-594C-48FC-B4C4-CAB25735569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TM67043060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Paul Stephan</dc:creator>
  <cp:lastModifiedBy>Paul Stephan</cp:lastModifiedBy>
  <dcterms:created xsi:type="dcterms:W3CDTF">2023-08-15T13:36:59Z</dcterms:created>
  <dcterms:modified xsi:type="dcterms:W3CDTF">2024-08-23T06:10:32Z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